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735" tabRatio="613" activeTab="0"/>
  </bookViews>
  <sheets>
    <sheet name="DIVERSAS" sheetId="1" r:id="rId1"/>
    <sheet name="CRONOGRAMA" sheetId="2" r:id="rId2"/>
  </sheets>
  <externalReferences>
    <externalReference r:id="rId5"/>
  </externalReferences>
  <definedNames>
    <definedName name="_xlnm.Print_Area" localSheetId="0">'DIVERSAS'!$A$1:$J$122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</definedNames>
  <calcPr fullCalcOnLoad="1"/>
</workbook>
</file>

<file path=xl/sharedStrings.xml><?xml version="1.0" encoding="utf-8"?>
<sst xmlns="http://schemas.openxmlformats.org/spreadsheetml/2006/main" count="264" uniqueCount="157">
  <si>
    <t>TOTAL</t>
  </si>
  <si>
    <t>Carga, manobras e descarga do CBUQ, com caminhão basculante</t>
  </si>
  <si>
    <t>PLANILHA ORÇAMENTÁRIA</t>
  </si>
  <si>
    <t>Itens</t>
  </si>
  <si>
    <t>Código SINAPI</t>
  </si>
  <si>
    <t>Unidade</t>
  </si>
  <si>
    <t>Mão de obra</t>
  </si>
  <si>
    <t>Total Geral</t>
  </si>
  <si>
    <t>Unitário</t>
  </si>
  <si>
    <t>Total</t>
  </si>
  <si>
    <t>m³</t>
  </si>
  <si>
    <t>Sub total</t>
  </si>
  <si>
    <t>2.0</t>
  </si>
  <si>
    <t>73806/001</t>
  </si>
  <si>
    <t>Limpeza de superfícies com jato de alta pressão de ar e água</t>
  </si>
  <si>
    <t>m²</t>
  </si>
  <si>
    <t>5.0</t>
  </si>
  <si>
    <t>m</t>
  </si>
  <si>
    <t>DIVERSOS</t>
  </si>
  <si>
    <t>m³xkm</t>
  </si>
  <si>
    <t>3.0</t>
  </si>
  <si>
    <t>1.0</t>
  </si>
  <si>
    <t>4.0</t>
  </si>
  <si>
    <t>7.0</t>
  </si>
  <si>
    <t>ENSAIOS TECNOLÓGICOS</t>
  </si>
  <si>
    <t>Quantidade</t>
  </si>
  <si>
    <t>SINALIZAÇÃO</t>
  </si>
  <si>
    <t>Descrição do serviço</t>
  </si>
  <si>
    <t>Material+Equipamento</t>
  </si>
  <si>
    <t>und</t>
  </si>
  <si>
    <t xml:space="preserve">PAVIMENTAÇÃO ASFÁLTICA </t>
  </si>
  <si>
    <t>t</t>
  </si>
  <si>
    <t>Proprietário: Prefeitura Municipal de Gaurama - RS</t>
  </si>
  <si>
    <t>Objeto: Implantação de pavimentação asfáltica sobre paralelepípedos existentes</t>
  </si>
  <si>
    <t>Pintura de ligação com emulsão RR-1C</t>
  </si>
  <si>
    <t>SERVIÇOS PRELIMINARES</t>
  </si>
  <si>
    <t>___________________________________</t>
  </si>
  <si>
    <t>Rafael Giacomini Bergamin</t>
  </si>
  <si>
    <t>_____________________________________</t>
  </si>
  <si>
    <t>Responsável Técnico</t>
  </si>
  <si>
    <t>Prefeito Municipal</t>
  </si>
  <si>
    <t>Leandro Márcio Puton</t>
  </si>
  <si>
    <t>CRONOGRAMA FÍSICO E FINANCEIRO - GLOBAL</t>
  </si>
  <si>
    <t xml:space="preserve">Itens </t>
  </si>
  <si>
    <t>1° Mês</t>
  </si>
  <si>
    <t>onerado</t>
  </si>
  <si>
    <t>BDI = 20,10%</t>
  </si>
  <si>
    <t>Transporte com caminhão basculante 10m³ de massa asfaltica para pavimentação urbana</t>
  </si>
  <si>
    <t>dist transp 20,1km</t>
  </si>
  <si>
    <t>Local: Diversas Ruas</t>
  </si>
  <si>
    <t>Sinalização horizontal, com tinta retrorrefletiva, na cor amarela/branca</t>
  </si>
  <si>
    <t/>
  </si>
  <si>
    <t>SERVIÇOS PRELIMINARESS</t>
  </si>
  <si>
    <t>PAVIMENTAÇÃO ASFALTICA</t>
  </si>
  <si>
    <t>OBRAS COMPLEMENTARES</t>
  </si>
  <si>
    <t>546-DAER</t>
  </si>
  <si>
    <t>Remoção de paralelepipedo</t>
  </si>
  <si>
    <t>Sub-base de macadame seco, inclusive compactação (e=30cm)</t>
  </si>
  <si>
    <t>Transporte de macadame, rod. Pavimentada (DMT adotada = 20,10 km)</t>
  </si>
  <si>
    <t xml:space="preserve">Carga, manobra e descarga de macadame  </t>
  </si>
  <si>
    <t>Base de brita graduada simples (e=15cm)</t>
  </si>
  <si>
    <t xml:space="preserve">Carga, manobra e descarga de macadame </t>
  </si>
  <si>
    <t>Transporte de brita graduada, rod. Pavimentada  (DMT adotada = 20,10 km)</t>
  </si>
  <si>
    <t>Imprimação asfáltica com CM-30</t>
  </si>
  <si>
    <t>74223-2</t>
  </si>
  <si>
    <t>Meio-fio de basalto rejuntado com argamassa</t>
  </si>
  <si>
    <t>Local: Santa Isabel</t>
  </si>
  <si>
    <t>MAT</t>
  </si>
  <si>
    <t>M.O.</t>
  </si>
  <si>
    <t>TOT</t>
  </si>
  <si>
    <t>Aplicação de Concreto Betuminoso Usinado a Quente (CBUQ), camada de reperfilagem, espessura de 5cm</t>
  </si>
  <si>
    <t>1.1.0</t>
  </si>
  <si>
    <t>1.1.1</t>
  </si>
  <si>
    <t>1.2.0</t>
  </si>
  <si>
    <t>1.2.1</t>
  </si>
  <si>
    <t>1.2.2</t>
  </si>
  <si>
    <t>1.2.3</t>
  </si>
  <si>
    <t>1.2.4</t>
  </si>
  <si>
    <t>1.2.5</t>
  </si>
  <si>
    <t>1.3.0</t>
  </si>
  <si>
    <t>1.3.1</t>
  </si>
  <si>
    <t>1.5.0</t>
  </si>
  <si>
    <t>2.1.0</t>
  </si>
  <si>
    <t>2.1.1</t>
  </si>
  <si>
    <t>2.2.0</t>
  </si>
  <si>
    <t>2.2.1</t>
  </si>
  <si>
    <t>2.2.2</t>
  </si>
  <si>
    <t>2.2.3</t>
  </si>
  <si>
    <t>2.2.4</t>
  </si>
  <si>
    <t>2.2.5</t>
  </si>
  <si>
    <t>2.3.0</t>
  </si>
  <si>
    <t>2.3.1</t>
  </si>
  <si>
    <t>3.1.0</t>
  </si>
  <si>
    <t>3.1.1</t>
  </si>
  <si>
    <t>3.2.0</t>
  </si>
  <si>
    <t>3.2.1</t>
  </si>
  <si>
    <t>3.2.2</t>
  </si>
  <si>
    <t>3.2.3</t>
  </si>
  <si>
    <t>3.2.4</t>
  </si>
  <si>
    <t>3.2.5</t>
  </si>
  <si>
    <t>3.3.0</t>
  </si>
  <si>
    <t>3.3.1</t>
  </si>
  <si>
    <t>SUB TOTAL</t>
  </si>
  <si>
    <t>4.1.0</t>
  </si>
  <si>
    <t>4.1.1</t>
  </si>
  <si>
    <t>4.2.0</t>
  </si>
  <si>
    <t>4.2.1</t>
  </si>
  <si>
    <t>4.2.2</t>
  </si>
  <si>
    <t>4.2.3</t>
  </si>
  <si>
    <t>4.2.4</t>
  </si>
  <si>
    <t>4.2.5</t>
  </si>
  <si>
    <t>4.3.0</t>
  </si>
  <si>
    <t>4.3.1</t>
  </si>
  <si>
    <t>5.1.0</t>
  </si>
  <si>
    <t>5.1.1</t>
  </si>
  <si>
    <t>5.2.0</t>
  </si>
  <si>
    <t>5.2.1</t>
  </si>
  <si>
    <t>5.2.2</t>
  </si>
  <si>
    <t>5.2.3</t>
  </si>
  <si>
    <t>5.2.4</t>
  </si>
  <si>
    <t>5.2.5</t>
  </si>
  <si>
    <t>5.3.0</t>
  </si>
  <si>
    <t>5.3.1</t>
  </si>
  <si>
    <t>5.4.0</t>
  </si>
  <si>
    <t>5.4.1</t>
  </si>
  <si>
    <t>5.5.0</t>
  </si>
  <si>
    <t>LOCAL</t>
  </si>
  <si>
    <t>RUA DOS ERVAIS</t>
  </si>
  <si>
    <t>RUA FREI PLÁCIDO</t>
  </si>
  <si>
    <t>RUA PASSO FUNDO E RUA JOÃO DE PARIS</t>
  </si>
  <si>
    <t>RUAS DA VILA ESPERANÇA</t>
  </si>
  <si>
    <t>RUA JOSÉ VARGAS DA SILVA E LARGO DA PREFEITURA</t>
  </si>
  <si>
    <t>SINAPI 01/2023</t>
  </si>
  <si>
    <t>95995 pela 72962</t>
  </si>
  <si>
    <t>Boca de lobo</t>
  </si>
  <si>
    <t>Assentamento com argamassa, tubo de concreto 300mm</t>
  </si>
  <si>
    <t>5.4.2</t>
  </si>
  <si>
    <t>5.4.3</t>
  </si>
  <si>
    <t>74209/001</t>
  </si>
  <si>
    <t>Placa de obra em chapa de aco galvanizado</t>
  </si>
  <si>
    <t>Gaurama - RS, 30 de março de 2023.</t>
  </si>
  <si>
    <t>5.4.4</t>
  </si>
  <si>
    <t>sicro 4805765</t>
  </si>
  <si>
    <t>Escavação de vala em materiial de 3ª categoria</t>
  </si>
  <si>
    <t>4.4.0</t>
  </si>
  <si>
    <t>3.4.0</t>
  </si>
  <si>
    <t>2.4.0</t>
  </si>
  <si>
    <t>1.4.0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</si>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</sst>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dd\-mmm\-yy"/>
    <numFmt numFmtId="166" formatCode="&quot;R$&quot;#,##0.00_);\(&quot;R$&quot;#,##0.00\)"/>
    <numFmt numFmtId="167" formatCode="_(* #,##0.00_);_(* \(#,##0.00\);_(* &quot;-&quot;??_);_(@_)"/>
    <numFmt numFmtId="168" formatCode="_-* #,##0.0000_-;\-* #,##0.0000_-;_-* &quot;-&quot;??_-;_-@_-"/>
    <numFmt numFmtId="169" formatCode="0.0000%"/>
    <numFmt numFmtId="170" formatCode="_-* #,##0.000_-;\-* #,##0.000_-;_-* &quot;-&quot;??_-;_-@_-"/>
    <numFmt numFmtId="171" formatCode="_(&quot;R$ &quot;* #,##0.00_);_(&quot;R$ &quot;* \(#,##0.00\);_(&quot;R$ &quot;* \-??_);_(@_)"/>
    <numFmt numFmtId="172" formatCode="_-* #,##0.00_-;\-* #,##0.00_-;_-* \-??_-;_-@_-"/>
    <numFmt numFmtId="173" formatCode="_-&quot;R$ &quot;* #,##0.00_-;&quot;-R$ &quot;* #,##0.00_-;_-&quot;R$ &quot;* \-??_-;_-@_-"/>
    <numFmt numFmtId="174" formatCode="#,##0.00_ ;\-#,##0.00\ "/>
    <numFmt numFmtId="175" formatCode="#,##0.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double"/>
      <right style="thin"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3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6" borderId="0" applyNumberFormat="0" applyBorder="0" applyAlignment="0" applyProtection="0"/>
    <xf numFmtId="0" fontId="34" fillId="20" borderId="0" applyNumberFormat="0" applyBorder="0" applyAlignment="0" applyProtection="0"/>
    <xf numFmtId="0" fontId="16" fillId="18" borderId="0" applyNumberFormat="0" applyBorder="0" applyAlignment="0" applyProtection="0"/>
    <xf numFmtId="0" fontId="34" fillId="21" borderId="0" applyNumberFormat="0" applyBorder="0" applyAlignment="0" applyProtection="0"/>
    <xf numFmtId="0" fontId="16" fillId="5" borderId="0" applyNumberFormat="0" applyBorder="0" applyAlignment="0" applyProtection="0"/>
    <xf numFmtId="0" fontId="34" fillId="22" borderId="0" applyNumberFormat="0" applyBorder="0" applyAlignment="0" applyProtection="0"/>
    <xf numFmtId="0" fontId="16" fillId="23" borderId="0" applyNumberFormat="0" applyBorder="0" applyAlignment="0" applyProtection="0"/>
    <xf numFmtId="0" fontId="34" fillId="24" borderId="0" applyNumberFormat="0" applyBorder="0" applyAlignment="0" applyProtection="0"/>
    <xf numFmtId="0" fontId="16" fillId="16" borderId="0" applyNumberFormat="0" applyBorder="0" applyAlignment="0" applyProtection="0"/>
    <xf numFmtId="0" fontId="34" fillId="25" borderId="0" applyNumberFormat="0" applyBorder="0" applyAlignment="0" applyProtection="0"/>
    <xf numFmtId="0" fontId="16" fillId="26" borderId="0" applyNumberFormat="0" applyBorder="0" applyAlignment="0" applyProtection="0"/>
    <xf numFmtId="0" fontId="34" fillId="27" borderId="0" applyNumberFormat="0" applyBorder="0" applyAlignment="0" applyProtection="0"/>
    <xf numFmtId="0" fontId="16" fillId="28" borderId="0" applyNumberFormat="0" applyBorder="0" applyAlignment="0" applyProtection="0"/>
    <xf numFmtId="0" fontId="35" fillId="29" borderId="0" applyNumberFormat="0" applyBorder="0" applyAlignment="0" applyProtection="0"/>
    <xf numFmtId="0" fontId="17" fillId="3" borderId="0" applyNumberFormat="0" applyBorder="0" applyAlignment="0" applyProtection="0"/>
    <xf numFmtId="0" fontId="36" fillId="30" borderId="1" applyNumberFormat="0" applyAlignment="0" applyProtection="0"/>
    <xf numFmtId="0" fontId="18" fillId="31" borderId="2" applyNumberFormat="0" applyAlignment="0" applyProtection="0"/>
    <xf numFmtId="0" fontId="37" fillId="32" borderId="3" applyNumberFormat="0" applyAlignment="0" applyProtection="0"/>
    <xf numFmtId="0" fontId="19" fillId="33" borderId="4" applyNumberFormat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34" fillId="34" borderId="0" applyNumberFormat="0" applyBorder="0" applyAlignment="0" applyProtection="0"/>
    <xf numFmtId="0" fontId="16" fillId="26" borderId="0" applyNumberFormat="0" applyBorder="0" applyAlignment="0" applyProtection="0"/>
    <xf numFmtId="0" fontId="34" fillId="35" borderId="0" applyNumberFormat="0" applyBorder="0" applyAlignment="0" applyProtection="0"/>
    <xf numFmtId="0" fontId="16" fillId="36" borderId="0" applyNumberFormat="0" applyBorder="0" applyAlignment="0" applyProtection="0"/>
    <xf numFmtId="0" fontId="34" fillId="37" borderId="0" applyNumberFormat="0" applyBorder="0" applyAlignment="0" applyProtection="0"/>
    <xf numFmtId="0" fontId="16" fillId="33" borderId="0" applyNumberFormat="0" applyBorder="0" applyAlignment="0" applyProtection="0"/>
    <xf numFmtId="0" fontId="34" fillId="38" borderId="0" applyNumberFormat="0" applyBorder="0" applyAlignment="0" applyProtection="0"/>
    <xf numFmtId="0" fontId="16" fillId="39" borderId="0" applyNumberFormat="0" applyBorder="0" applyAlignment="0" applyProtection="0"/>
    <xf numFmtId="0" fontId="34" fillId="40" borderId="0" applyNumberFormat="0" applyBorder="0" applyAlignment="0" applyProtection="0"/>
    <xf numFmtId="0" fontId="16" fillId="41" borderId="0" applyNumberFormat="0" applyBorder="0" applyAlignment="0" applyProtection="0"/>
    <xf numFmtId="0" fontId="34" fillId="42" borderId="0" applyNumberFormat="0" applyBorder="0" applyAlignment="0" applyProtection="0"/>
    <xf numFmtId="0" fontId="16" fillId="28" borderId="0" applyNumberFormat="0" applyBorder="0" applyAlignment="0" applyProtection="0"/>
    <xf numFmtId="0" fontId="39" fillId="43" borderId="1" applyNumberFormat="0" applyAlignment="0" applyProtection="0"/>
    <xf numFmtId="0" fontId="21" fillId="5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22" fillId="4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44" fontId="1" fillId="0" borderId="0" applyFont="0" applyFill="0" applyBorder="0" applyAlignment="0" applyProtection="0"/>
    <xf numFmtId="173" fontId="2" fillId="0" borderId="0" applyFill="0" applyBorder="0" applyAlignment="0" applyProtection="0"/>
    <xf numFmtId="0" fontId="42" fillId="46" borderId="0" applyNumberFormat="0" applyBorder="0" applyAlignment="0" applyProtection="0"/>
    <xf numFmtId="0" fontId="23" fillId="16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47" borderId="7" applyNumberFormat="0" applyFont="0" applyAlignment="0" applyProtection="0"/>
    <xf numFmtId="0" fontId="2" fillId="9" borderId="8" applyNumberFormat="0" applyAlignment="0" applyProtection="0"/>
    <xf numFmtId="0" fontId="9" fillId="0" borderId="9" applyNumberFormat="0" applyFont="0" applyBorder="0" applyAlignment="0"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0" fontId="43" fillId="30" borderId="10" applyNumberFormat="0" applyAlignment="0" applyProtection="0"/>
    <xf numFmtId="0" fontId="24" fillId="31" borderId="11" applyNumberFormat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8" fillId="0" borderId="14" applyNumberFormat="0" applyFill="0" applyAlignment="0" applyProtection="0"/>
    <xf numFmtId="0" fontId="48" fillId="0" borderId="15" applyNumberFormat="0" applyFill="0" applyAlignment="0" applyProtection="0"/>
    <xf numFmtId="0" fontId="29" fillId="0" borderId="16" applyNumberFormat="0" applyFill="0" applyAlignment="0" applyProtection="0"/>
    <xf numFmtId="0" fontId="49" fillId="0" borderId="17" applyNumberFormat="0" applyFill="0" applyAlignment="0" applyProtection="0"/>
    <xf numFmtId="0" fontId="30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27" fillId="0" borderId="20" applyNumberFormat="0" applyFill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ill="0" applyBorder="0" applyAlignment="0" applyProtection="0"/>
    <xf numFmtId="164" fontId="2" fillId="0" borderId="0" applyFill="0" applyBorder="0" applyAlignment="0" applyProtection="0"/>
  </cellStyleXfs>
  <cellXfs count="138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48" borderId="0" xfId="91" applyFont="1" applyFill="1" applyBorder="1">
      <alignment/>
      <protection/>
    </xf>
    <xf numFmtId="0" fontId="1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49" borderId="24" xfId="0" applyFont="1" applyFill="1" applyBorder="1" applyAlignment="1">
      <alignment horizontal="center"/>
    </xf>
    <xf numFmtId="0" fontId="6" fillId="49" borderId="25" xfId="0" applyFont="1" applyFill="1" applyBorder="1" applyAlignment="1">
      <alignment/>
    </xf>
    <xf numFmtId="0" fontId="10" fillId="49" borderId="25" xfId="0" applyFont="1" applyFill="1" applyBorder="1" applyAlignment="1">
      <alignment vertical="center"/>
    </xf>
    <xf numFmtId="0" fontId="6" fillId="49" borderId="26" xfId="0" applyFont="1" applyFill="1" applyBorder="1" applyAlignment="1">
      <alignment/>
    </xf>
    <xf numFmtId="0" fontId="13" fillId="0" borderId="24" xfId="0" applyFont="1" applyBorder="1" applyAlignment="1">
      <alignment horizontal="center"/>
    </xf>
    <xf numFmtId="43" fontId="6" fillId="48" borderId="25" xfId="145" applyFont="1" applyFill="1" applyBorder="1" applyAlignment="1">
      <alignment/>
    </xf>
    <xf numFmtId="43" fontId="6" fillId="0" borderId="25" xfId="145" applyFont="1" applyBorder="1" applyAlignment="1">
      <alignment/>
    </xf>
    <xf numFmtId="43" fontId="6" fillId="0" borderId="26" xfId="145" applyFont="1" applyBorder="1" applyAlignment="1">
      <alignment/>
    </xf>
    <xf numFmtId="0" fontId="10" fillId="0" borderId="25" xfId="0" applyFont="1" applyBorder="1" applyAlignment="1">
      <alignment/>
    </xf>
    <xf numFmtId="43" fontId="10" fillId="0" borderId="25" xfId="145" applyFont="1" applyBorder="1" applyAlignment="1">
      <alignment/>
    </xf>
    <xf numFmtId="43" fontId="10" fillId="48" borderId="25" xfId="145" applyFont="1" applyFill="1" applyBorder="1" applyAlignment="1">
      <alignment/>
    </xf>
    <xf numFmtId="43" fontId="10" fillId="0" borderId="26" xfId="145" applyFont="1" applyBorder="1" applyAlignment="1">
      <alignment/>
    </xf>
    <xf numFmtId="0" fontId="7" fillId="49" borderId="25" xfId="91" applyFont="1" applyFill="1" applyBorder="1" applyAlignment="1">
      <alignment vertical="center"/>
      <protection/>
    </xf>
    <xf numFmtId="43" fontId="6" fillId="49" borderId="25" xfId="145" applyFont="1" applyFill="1" applyBorder="1" applyAlignment="1">
      <alignment/>
    </xf>
    <xf numFmtId="43" fontId="6" fillId="49" borderId="26" xfId="145" applyFont="1" applyFill="1" applyBorder="1" applyAlignment="1">
      <alignment/>
    </xf>
    <xf numFmtId="43" fontId="10" fillId="48" borderId="26" xfId="145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10" fillId="0" borderId="28" xfId="0" applyFont="1" applyBorder="1" applyAlignment="1">
      <alignment/>
    </xf>
    <xf numFmtId="43" fontId="6" fillId="0" borderId="28" xfId="145" applyFont="1" applyBorder="1" applyAlignment="1">
      <alignment/>
    </xf>
    <xf numFmtId="43" fontId="10" fillId="0" borderId="28" xfId="145" applyFont="1" applyBorder="1" applyAlignment="1">
      <alignment/>
    </xf>
    <xf numFmtId="43" fontId="10" fillId="0" borderId="29" xfId="145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3" fontId="10" fillId="0" borderId="0" xfId="145" applyFont="1" applyBorder="1" applyAlignment="1">
      <alignment/>
    </xf>
    <xf numFmtId="0" fontId="11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43" fontId="6" fillId="0" borderId="0" xfId="145" applyFont="1" applyBorder="1" applyAlignment="1">
      <alignment/>
    </xf>
    <xf numFmtId="0" fontId="6" fillId="49" borderId="30" xfId="0" applyFont="1" applyFill="1" applyBorder="1" applyAlignment="1">
      <alignment horizontal="center"/>
    </xf>
    <xf numFmtId="0" fontId="6" fillId="49" borderId="31" xfId="0" applyFont="1" applyFill="1" applyBorder="1" applyAlignment="1">
      <alignment/>
    </xf>
    <xf numFmtId="0" fontId="10" fillId="49" borderId="31" xfId="0" applyFont="1" applyFill="1" applyBorder="1" applyAlignment="1">
      <alignment vertical="center"/>
    </xf>
    <xf numFmtId="0" fontId="10" fillId="49" borderId="31" xfId="0" applyFont="1" applyFill="1" applyBorder="1" applyAlignment="1">
      <alignment/>
    </xf>
    <xf numFmtId="43" fontId="10" fillId="49" borderId="31" xfId="145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43" fontId="11" fillId="0" borderId="0" xfId="145" applyFont="1" applyBorder="1" applyAlignment="1">
      <alignment horizontal="center"/>
    </xf>
    <xf numFmtId="0" fontId="5" fillId="0" borderId="25" xfId="91" applyFont="1" applyFill="1" applyBorder="1" applyAlignment="1">
      <alignment horizontal="center"/>
      <protection/>
    </xf>
    <xf numFmtId="0" fontId="5" fillId="0" borderId="25" xfId="91" applyFont="1" applyFill="1" applyBorder="1" applyAlignment="1">
      <alignment horizontal="left" wrapText="1"/>
      <protection/>
    </xf>
    <xf numFmtId="43" fontId="5" fillId="0" borderId="25" xfId="145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/>
    </xf>
    <xf numFmtId="43" fontId="6" fillId="0" borderId="25" xfId="145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145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50" borderId="0" xfId="0" applyFont="1" applyFill="1" applyBorder="1" applyAlignment="1">
      <alignment/>
    </xf>
    <xf numFmtId="43" fontId="6" fillId="50" borderId="0" xfId="0" applyNumberFormat="1" applyFont="1" applyFill="1" applyBorder="1" applyAlignment="1">
      <alignment/>
    </xf>
    <xf numFmtId="0" fontId="13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0" fontId="5" fillId="0" borderId="25" xfId="91" applyFont="1" applyFill="1" applyBorder="1" applyAlignment="1">
      <alignment wrapText="1"/>
      <protection/>
    </xf>
    <xf numFmtId="0" fontId="5" fillId="0" borderId="25" xfId="91" applyFont="1" applyFill="1" applyBorder="1" applyAlignment="1">
      <alignment horizontal="center" wrapText="1"/>
      <protection/>
    </xf>
    <xf numFmtId="0" fontId="6" fillId="0" borderId="33" xfId="101" applyFont="1" applyFill="1" applyBorder="1" applyAlignment="1">
      <alignment horizontal="center" vertical="center"/>
      <protection/>
    </xf>
    <xf numFmtId="0" fontId="6" fillId="0" borderId="25" xfId="101" applyFont="1" applyFill="1" applyBorder="1" applyAlignment="1">
      <alignment wrapText="1"/>
      <protection/>
    </xf>
    <xf numFmtId="0" fontId="6" fillId="0" borderId="25" xfId="101" applyFont="1" applyFill="1" applyBorder="1" applyAlignment="1">
      <alignment horizontal="center" vertical="center"/>
      <protection/>
    </xf>
    <xf numFmtId="167" fontId="6" fillId="0" borderId="25" xfId="146" applyFont="1" applyFill="1" applyBorder="1" applyAlignment="1">
      <alignment/>
    </xf>
    <xf numFmtId="43" fontId="10" fillId="0" borderId="25" xfId="145" applyFont="1" applyFill="1" applyBorder="1" applyAlignment="1">
      <alignment/>
    </xf>
    <xf numFmtId="43" fontId="10" fillId="0" borderId="26" xfId="145" applyFont="1" applyFill="1" applyBorder="1" applyAlignment="1">
      <alignment/>
    </xf>
    <xf numFmtId="0" fontId="6" fillId="0" borderId="0" xfId="0" applyFont="1" applyAlignment="1">
      <alignment/>
    </xf>
    <xf numFmtId="0" fontId="6" fillId="49" borderId="24" xfId="0" applyFont="1" applyFill="1" applyBorder="1" applyAlignment="1">
      <alignment horizontal="center"/>
    </xf>
    <xf numFmtId="43" fontId="6" fillId="49" borderId="25" xfId="0" applyNumberFormat="1" applyFont="1" applyFill="1" applyBorder="1" applyAlignment="1">
      <alignment/>
    </xf>
    <xf numFmtId="43" fontId="6" fillId="49" borderId="31" xfId="145" applyFont="1" applyFill="1" applyBorder="1" applyAlignment="1">
      <alignment/>
    </xf>
    <xf numFmtId="43" fontId="10" fillId="49" borderId="34" xfId="145" applyFont="1" applyFill="1" applyBorder="1" applyAlignment="1">
      <alignment/>
    </xf>
    <xf numFmtId="0" fontId="10" fillId="49" borderId="30" xfId="0" applyFont="1" applyFill="1" applyBorder="1" applyAlignment="1">
      <alignment horizontal="center"/>
    </xf>
    <xf numFmtId="0" fontId="10" fillId="49" borderId="31" xfId="0" applyFont="1" applyFill="1" applyBorder="1" applyAlignment="1">
      <alignment horizontal="center"/>
    </xf>
    <xf numFmtId="0" fontId="10" fillId="49" borderId="34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6" fillId="49" borderId="38" xfId="0" applyFont="1" applyFill="1" applyBorder="1" applyAlignment="1">
      <alignment horizontal="center"/>
    </xf>
    <xf numFmtId="0" fontId="6" fillId="49" borderId="39" xfId="0" applyFont="1" applyFill="1" applyBorder="1" applyAlignment="1">
      <alignment/>
    </xf>
    <xf numFmtId="43" fontId="6" fillId="49" borderId="39" xfId="0" applyNumberFormat="1" applyFont="1" applyFill="1" applyBorder="1" applyAlignment="1">
      <alignment/>
    </xf>
    <xf numFmtId="0" fontId="6" fillId="0" borderId="39" xfId="0" applyFont="1" applyBorder="1" applyAlignment="1">
      <alignment/>
    </xf>
    <xf numFmtId="43" fontId="6" fillId="49" borderId="40" xfId="145" applyFont="1" applyFill="1" applyBorder="1" applyAlignment="1">
      <alignment/>
    </xf>
    <xf numFmtId="9" fontId="6" fillId="0" borderId="0" xfId="110" applyFont="1" applyAlignment="1">
      <alignment/>
    </xf>
    <xf numFmtId="43" fontId="6" fillId="51" borderId="0" xfId="145" applyFont="1" applyFill="1" applyBorder="1" applyAlignment="1">
      <alignment/>
    </xf>
    <xf numFmtId="43" fontId="10" fillId="51" borderId="0" xfId="145" applyFont="1" applyFill="1" applyBorder="1" applyAlignment="1">
      <alignment/>
    </xf>
    <xf numFmtId="43" fontId="10" fillId="52" borderId="0" xfId="145" applyFont="1" applyFill="1" applyBorder="1" applyAlignment="1">
      <alignment/>
    </xf>
    <xf numFmtId="0" fontId="6" fillId="53" borderId="0" xfId="0" applyFont="1" applyFill="1" applyBorder="1" applyAlignment="1">
      <alignment/>
    </xf>
    <xf numFmtId="43" fontId="6" fillId="53" borderId="0" xfId="145" applyFont="1" applyFill="1" applyBorder="1" applyAlignment="1">
      <alignment/>
    </xf>
    <xf numFmtId="43" fontId="6" fillId="53" borderId="0" xfId="0" applyNumberFormat="1" applyFont="1" applyFill="1" applyBorder="1" applyAlignment="1">
      <alignment/>
    </xf>
    <xf numFmtId="43" fontId="10" fillId="53" borderId="0" xfId="0" applyNumberFormat="1" applyFont="1" applyFill="1" applyBorder="1" applyAlignment="1">
      <alignment/>
    </xf>
    <xf numFmtId="43" fontId="10" fillId="53" borderId="0" xfId="145" applyFont="1" applyFill="1" applyBorder="1" applyAlignment="1">
      <alignment/>
    </xf>
    <xf numFmtId="168" fontId="6" fillId="53" borderId="0" xfId="145" applyNumberFormat="1" applyFont="1" applyFill="1" applyBorder="1" applyAlignment="1">
      <alignment/>
    </xf>
    <xf numFmtId="169" fontId="6" fillId="0" borderId="0" xfId="110" applyNumberFormat="1" applyFont="1" applyFill="1" applyBorder="1" applyAlignment="1">
      <alignment/>
    </xf>
    <xf numFmtId="43" fontId="10" fillId="51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3" fillId="54" borderId="0" xfId="0" applyFont="1" applyFill="1" applyBorder="1" applyAlignment="1">
      <alignment horizontal="center"/>
    </xf>
    <xf numFmtId="43" fontId="11" fillId="0" borderId="0" xfId="145" applyFont="1" applyFill="1" applyBorder="1" applyAlignment="1">
      <alignment horizontal="center"/>
    </xf>
    <xf numFmtId="43" fontId="10" fillId="0" borderId="0" xfId="145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6" fillId="0" borderId="25" xfId="145" applyFont="1" applyBorder="1" applyAlignment="1">
      <alignment vertical="center"/>
    </xf>
    <xf numFmtId="174" fontId="10" fillId="49" borderId="34" xfId="145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43" fontId="6" fillId="55" borderId="0" xfId="145" applyFont="1" applyFill="1" applyBorder="1" applyAlignment="1">
      <alignment/>
    </xf>
    <xf numFmtId="0" fontId="6" fillId="51" borderId="0" xfId="0" applyFont="1" applyFill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25" xfId="0" applyFont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/>
    </xf>
    <xf numFmtId="43" fontId="6" fillId="0" borderId="0" xfId="145" applyFont="1" applyBorder="1" applyAlignment="1">
      <alignment horizontal="center"/>
    </xf>
    <xf numFmtId="43" fontId="10" fillId="49" borderId="25" xfId="145" applyFont="1" applyFill="1" applyBorder="1" applyAlignment="1">
      <alignment/>
    </xf>
    <xf numFmtId="174" fontId="6" fillId="0" borderId="25" xfId="145" applyNumberFormat="1" applyFont="1" applyFill="1" applyBorder="1" applyAlignment="1">
      <alignment/>
    </xf>
    <xf numFmtId="174" fontId="6" fillId="48" borderId="25" xfId="145" applyNumberFormat="1" applyFont="1" applyFill="1" applyBorder="1" applyAlignment="1">
      <alignment/>
    </xf>
    <xf numFmtId="0" fontId="10" fillId="49" borderId="41" xfId="0" applyFont="1" applyFill="1" applyBorder="1" applyAlignment="1">
      <alignment horizontal="center"/>
    </xf>
    <xf numFmtId="0" fontId="10" fillId="49" borderId="42" xfId="0" applyFont="1" applyFill="1" applyBorder="1" applyAlignment="1">
      <alignment horizontal="center"/>
    </xf>
    <xf numFmtId="0" fontId="10" fillId="49" borderId="43" xfId="0" applyFont="1" applyFill="1" applyBorder="1" applyAlignment="1">
      <alignment horizontal="center"/>
    </xf>
    <xf numFmtId="0" fontId="13" fillId="0" borderId="38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45" xfId="91" applyFont="1" applyBorder="1" applyAlignment="1">
      <alignment horizontal="left"/>
      <protection/>
    </xf>
    <xf numFmtId="0" fontId="7" fillId="0" borderId="46" xfId="91" applyFont="1" applyBorder="1" applyAlignment="1">
      <alignment horizontal="left"/>
      <protection/>
    </xf>
    <xf numFmtId="0" fontId="7" fillId="0" borderId="47" xfId="91" applyFont="1" applyBorder="1" applyAlignment="1">
      <alignment horizontal="left"/>
      <protection/>
    </xf>
    <xf numFmtId="0" fontId="7" fillId="0" borderId="48" xfId="91" applyFont="1" applyFill="1" applyBorder="1" applyAlignment="1">
      <alignment horizontal="left"/>
      <protection/>
    </xf>
    <xf numFmtId="0" fontId="7" fillId="0" borderId="49" xfId="91" applyFont="1" applyFill="1" applyBorder="1" applyAlignment="1">
      <alignment horizontal="left"/>
      <protection/>
    </xf>
    <xf numFmtId="0" fontId="7" fillId="0" borderId="50" xfId="91" applyFont="1" applyFill="1" applyBorder="1" applyAlignment="1">
      <alignment horizontal="left"/>
      <protection/>
    </xf>
    <xf numFmtId="0" fontId="12" fillId="0" borderId="38" xfId="91" applyFont="1" applyFill="1" applyBorder="1" applyAlignment="1">
      <alignment horizontal="center" vertical="center" wrapText="1"/>
      <protection/>
    </xf>
    <xf numFmtId="0" fontId="12" fillId="0" borderId="40" xfId="91" applyFont="1" applyFill="1" applyBorder="1" applyAlignment="1">
      <alignment horizontal="center" vertical="center" wrapText="1"/>
      <protection/>
    </xf>
    <xf numFmtId="0" fontId="7" fillId="0" borderId="51" xfId="91" applyFont="1" applyBorder="1" applyAlignment="1">
      <alignment horizontal="left"/>
      <protection/>
    </xf>
    <xf numFmtId="0" fontId="7" fillId="0" borderId="52" xfId="91" applyFont="1" applyBorder="1" applyAlignment="1">
      <alignment horizontal="left"/>
      <protection/>
    </xf>
    <xf numFmtId="0" fontId="7" fillId="0" borderId="53" xfId="91" applyFont="1" applyBorder="1" applyAlignment="1">
      <alignment horizontal="left"/>
      <protection/>
    </xf>
    <xf numFmtId="0" fontId="12" fillId="0" borderId="24" xfId="91" applyFont="1" applyFill="1" applyBorder="1" applyAlignment="1">
      <alignment horizontal="center" vertical="center" wrapText="1"/>
      <protection/>
    </xf>
    <xf numFmtId="0" fontId="12" fillId="0" borderId="26" xfId="91" applyFont="1" applyFill="1" applyBorder="1" applyAlignment="1">
      <alignment horizontal="center" vertical="center" wrapText="1"/>
      <protection/>
    </xf>
    <xf numFmtId="0" fontId="5" fillId="48" borderId="0" xfId="91" applyFont="1" applyFill="1" applyBorder="1" applyAlignment="1">
      <alignment horizontal="center"/>
      <protection/>
    </xf>
    <xf numFmtId="0" fontId="12" fillId="0" borderId="44" xfId="91" applyFont="1" applyFill="1" applyBorder="1" applyAlignment="1">
      <alignment horizontal="center" vertical="center" wrapText="1"/>
      <protection/>
    </xf>
    <xf numFmtId="0" fontId="12" fillId="0" borderId="54" xfId="91" applyFont="1" applyFill="1" applyBorder="1" applyAlignment="1">
      <alignment horizontal="center" vertical="center" wrapText="1"/>
      <protection/>
    </xf>
    <xf numFmtId="0" fontId="13" fillId="0" borderId="4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36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Hiperlink 2" xfId="74"/>
    <cellStyle name="Hiperlink 3" xfId="75"/>
    <cellStyle name="Followed Hyperlink" xfId="76"/>
    <cellStyle name="Incorreto" xfId="77"/>
    <cellStyle name="Incorreto 2" xfId="78"/>
    <cellStyle name="Currency" xfId="79"/>
    <cellStyle name="Currency [0]" xfId="80"/>
    <cellStyle name="Moeda 2" xfId="81"/>
    <cellStyle name="Moeda 3" xfId="82"/>
    <cellStyle name="Moeda 4" xfId="83"/>
    <cellStyle name="Moeda 5" xfId="84"/>
    <cellStyle name="Neutra" xfId="85"/>
    <cellStyle name="Neutra 2" xfId="86"/>
    <cellStyle name="Normal 10" xfId="87"/>
    <cellStyle name="Normal 11" xfId="88"/>
    <cellStyle name="Normal 13 2" xfId="89"/>
    <cellStyle name="Normal 16" xfId="90"/>
    <cellStyle name="Normal 2" xfId="91"/>
    <cellStyle name="Normal 2 2" xfId="92"/>
    <cellStyle name="Normal 2 2 2" xfId="93"/>
    <cellStyle name="Normal 2 3" xfId="94"/>
    <cellStyle name="Normal 2_ORÇ Três Arroios_Ruas Diversas" xfId="95"/>
    <cellStyle name="Normal 3" xfId="96"/>
    <cellStyle name="Normal 3 2" xfId="97"/>
    <cellStyle name="Normal 3 3" xfId="98"/>
    <cellStyle name="Normal 3_MODELO MOBILIZAÇÃO-DESMOBILIZAÇÃO v2.0 certo" xfId="99"/>
    <cellStyle name="Normal 4" xfId="100"/>
    <cellStyle name="Normal 4_ORÇAMENTO RUA GETULIO VARGAS" xfId="101"/>
    <cellStyle name="Normal 5" xfId="102"/>
    <cellStyle name="Normal 6" xfId="103"/>
    <cellStyle name="Normal 7" xfId="104"/>
    <cellStyle name="Normal 8" xfId="105"/>
    <cellStyle name="Normal 9" xfId="106"/>
    <cellStyle name="Nota" xfId="107"/>
    <cellStyle name="Nota 2" xfId="108"/>
    <cellStyle name="planilhas" xfId="109"/>
    <cellStyle name="Percent" xfId="110"/>
    <cellStyle name="Porcentagem 2" xfId="111"/>
    <cellStyle name="Porcentagem 2 2" xfId="112"/>
    <cellStyle name="Porcentagem 2 3" xfId="113"/>
    <cellStyle name="Porcentagem 3" xfId="114"/>
    <cellStyle name="Porcentagem 4" xfId="115"/>
    <cellStyle name="Porcentagem 5" xfId="116"/>
    <cellStyle name="Saída" xfId="117"/>
    <cellStyle name="Saída 2" xfId="118"/>
    <cellStyle name="Comma [0]" xfId="119"/>
    <cellStyle name="Separador de milhares 2" xfId="120"/>
    <cellStyle name="Separador de milhares 2 2" xfId="121"/>
    <cellStyle name="Separador de milhares 2 3" xfId="122"/>
    <cellStyle name="Separador de milhares 2_MODELO MOBILIZAÇÃO-DESMOBILIZAÇÃO v2.0 certo" xfId="123"/>
    <cellStyle name="Separador de milhares 3" xfId="124"/>
    <cellStyle name="Separador de milhares 4" xfId="125"/>
    <cellStyle name="Texto de Aviso" xfId="126"/>
    <cellStyle name="Texto de Aviso 2" xfId="127"/>
    <cellStyle name="Texto Explicativo" xfId="128"/>
    <cellStyle name="Texto Explicativo 2" xfId="129"/>
    <cellStyle name="Título" xfId="130"/>
    <cellStyle name="Título 1" xfId="131"/>
    <cellStyle name="Título 1 1" xfId="132"/>
    <cellStyle name="Título 1 1 1" xfId="133"/>
    <cellStyle name="Título 1 1 1 1" xfId="134"/>
    <cellStyle name="Título 1 2" xfId="135"/>
    <cellStyle name="Título 2" xfId="136"/>
    <cellStyle name="Título 2 2" xfId="137"/>
    <cellStyle name="Título 3" xfId="138"/>
    <cellStyle name="Título 3 2" xfId="139"/>
    <cellStyle name="Título 4" xfId="140"/>
    <cellStyle name="Título 4 2" xfId="141"/>
    <cellStyle name="Título 5" xfId="142"/>
    <cellStyle name="Total" xfId="143"/>
    <cellStyle name="Total 2" xfId="144"/>
    <cellStyle name="Comma" xfId="145"/>
    <cellStyle name="Vírgula 2" xfId="146"/>
    <cellStyle name="Vírgula 2 2" xfId="147"/>
    <cellStyle name="Vírgula 2 3" xfId="148"/>
    <cellStyle name="Vírgula 3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P%20ALVES\-%20Modelos\OR&#199;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2"/>
  <sheetViews>
    <sheetView tabSelected="1" zoomScale="110" zoomScaleNormal="110" zoomScalePageLayoutView="0" workbookViewId="0" topLeftCell="A98">
      <selection activeCell="J115" sqref="J115"/>
    </sheetView>
  </sheetViews>
  <sheetFormatPr defaultColWidth="9.140625" defaultRowHeight="15"/>
  <cols>
    <col min="1" max="1" width="9.140625" style="1" customWidth="1"/>
    <col min="2" max="2" width="15.8515625" style="1" bestFit="1" customWidth="1"/>
    <col min="3" max="3" width="53.00390625" style="1" customWidth="1"/>
    <col min="4" max="4" width="9.140625" style="1" customWidth="1"/>
    <col min="5" max="5" width="12.7109375" style="1" customWidth="1"/>
    <col min="6" max="6" width="14.28125" style="1" customWidth="1"/>
    <col min="7" max="7" width="15.421875" style="1" customWidth="1"/>
    <col min="8" max="8" width="14.421875" style="1" customWidth="1"/>
    <col min="9" max="10" width="14.7109375" style="1" customWidth="1"/>
    <col min="11" max="11" width="11.8515625" style="35" customWidth="1"/>
    <col min="12" max="12" width="11.57421875" style="35" customWidth="1"/>
    <col min="13" max="13" width="9.140625" style="35" customWidth="1"/>
    <col min="14" max="14" width="11.421875" style="1" customWidth="1"/>
    <col min="15" max="15" width="11.28125" style="1" customWidth="1"/>
    <col min="16" max="16" width="9.140625" style="1" customWidth="1"/>
    <col min="17" max="17" width="11.7109375" style="35" customWidth="1"/>
    <col min="18" max="18" width="12.28125" style="35" customWidth="1"/>
    <col min="19" max="19" width="9.140625" style="35" customWidth="1"/>
    <col min="20" max="20" width="11.28125" style="35" customWidth="1"/>
    <col min="21" max="21" width="13.28125" style="1" customWidth="1"/>
    <col min="22" max="22" width="9.140625" style="1" customWidth="1"/>
    <col min="23" max="23" width="9.140625" style="35" customWidth="1"/>
    <col min="24" max="24" width="9.140625" style="1" customWidth="1"/>
    <col min="25" max="25" width="9.140625" style="35" customWidth="1"/>
    <col min="26" max="26" width="9.140625" style="1" customWidth="1"/>
    <col min="27" max="31" width="9.140625" style="1" hidden="1" customWidth="1"/>
    <col min="32" max="43" width="9.140625" style="1" customWidth="1"/>
    <col min="44" max="70" width="9.140625" style="49" customWidth="1"/>
    <col min="71" max="16384" width="9.140625" style="1" customWidth="1"/>
  </cols>
  <sheetData>
    <row r="1" spans="1:15" ht="16.5" thickBot="1">
      <c r="A1" s="111" t="s">
        <v>2</v>
      </c>
      <c r="B1" s="112"/>
      <c r="C1" s="112"/>
      <c r="D1" s="112"/>
      <c r="E1" s="112"/>
      <c r="F1" s="112"/>
      <c r="G1" s="112"/>
      <c r="H1" s="112"/>
      <c r="I1" s="112"/>
      <c r="J1" s="113"/>
      <c r="O1" s="103" t="s">
        <v>51</v>
      </c>
    </row>
    <row r="2" ht="16.5" thickBot="1"/>
    <row r="3" spans="1:12" ht="19.5" customHeight="1">
      <c r="A3" s="121" t="s">
        <v>32</v>
      </c>
      <c r="B3" s="122"/>
      <c r="C3" s="122"/>
      <c r="D3" s="122"/>
      <c r="E3" s="122"/>
      <c r="F3" s="122"/>
      <c r="G3" s="122"/>
      <c r="H3" s="123"/>
      <c r="I3" s="124" t="s">
        <v>132</v>
      </c>
      <c r="J3" s="125"/>
      <c r="L3" s="1" t="s">
        <v>48</v>
      </c>
    </row>
    <row r="4" spans="1:10" ht="19.5" customHeight="1">
      <c r="A4" s="126" t="s">
        <v>33</v>
      </c>
      <c r="B4" s="127"/>
      <c r="C4" s="127"/>
      <c r="D4" s="127"/>
      <c r="E4" s="127"/>
      <c r="F4" s="127"/>
      <c r="G4" s="127"/>
      <c r="H4" s="128"/>
      <c r="I4" s="129" t="s">
        <v>45</v>
      </c>
      <c r="J4" s="130"/>
    </row>
    <row r="5" spans="1:10" ht="19.5" customHeight="1" thickBot="1">
      <c r="A5" s="118" t="s">
        <v>66</v>
      </c>
      <c r="B5" s="119"/>
      <c r="C5" s="119"/>
      <c r="D5" s="119"/>
      <c r="E5" s="119"/>
      <c r="F5" s="119"/>
      <c r="G5" s="119"/>
      <c r="H5" s="120"/>
      <c r="I5" s="132" t="s">
        <v>46</v>
      </c>
      <c r="J5" s="133"/>
    </row>
    <row r="6" ht="10.5" customHeight="1" thickBot="1"/>
    <row r="7" spans="1:70" s="33" customFormat="1" ht="15.75">
      <c r="A7" s="114" t="s">
        <v>3</v>
      </c>
      <c r="B7" s="116" t="s">
        <v>4</v>
      </c>
      <c r="C7" s="116" t="s">
        <v>27</v>
      </c>
      <c r="D7" s="116" t="s">
        <v>5</v>
      </c>
      <c r="E7" s="116" t="s">
        <v>25</v>
      </c>
      <c r="F7" s="136" t="s">
        <v>28</v>
      </c>
      <c r="G7" s="136"/>
      <c r="H7" s="136" t="s">
        <v>6</v>
      </c>
      <c r="I7" s="136"/>
      <c r="J7" s="134" t="s">
        <v>7</v>
      </c>
      <c r="K7" s="43"/>
      <c r="L7" s="43"/>
      <c r="M7" s="43"/>
      <c r="Q7" s="43"/>
      <c r="R7" s="43"/>
      <c r="S7" s="43"/>
      <c r="T7" s="43"/>
      <c r="W7" s="43"/>
      <c r="Y7" s="4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</row>
    <row r="8" spans="1:70" s="33" customFormat="1" ht="16.5" thickBot="1">
      <c r="A8" s="115"/>
      <c r="B8" s="117"/>
      <c r="C8" s="117"/>
      <c r="D8" s="117"/>
      <c r="E8" s="117"/>
      <c r="F8" s="42" t="s">
        <v>8</v>
      </c>
      <c r="G8" s="42" t="s">
        <v>9</v>
      </c>
      <c r="H8" s="42" t="s">
        <v>8</v>
      </c>
      <c r="I8" s="42" t="s">
        <v>9</v>
      </c>
      <c r="J8" s="135"/>
      <c r="K8" s="107" t="s">
        <v>69</v>
      </c>
      <c r="L8" s="107" t="s">
        <v>67</v>
      </c>
      <c r="M8" s="107" t="s">
        <v>68</v>
      </c>
      <c r="N8" s="94">
        <f>(20.1/100)+1</f>
        <v>1.201</v>
      </c>
      <c r="O8" s="94">
        <f>(20.1/100)+1</f>
        <v>1.201</v>
      </c>
      <c r="P8" s="94">
        <f>(20.1/100)+1</f>
        <v>1.201</v>
      </c>
      <c r="Q8" s="95"/>
      <c r="R8" s="95"/>
      <c r="S8" s="95"/>
      <c r="T8" s="95"/>
      <c r="U8" s="93"/>
      <c r="V8" s="93"/>
      <c r="W8" s="95"/>
      <c r="X8" s="93"/>
      <c r="Y8" s="95"/>
      <c r="Z8" s="93"/>
      <c r="AA8" s="93"/>
      <c r="AB8" s="93"/>
      <c r="AC8" s="93"/>
      <c r="AD8" s="93"/>
      <c r="AE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</row>
    <row r="9" spans="1:70" s="33" customFormat="1" ht="8.25" customHeight="1">
      <c r="A9" s="3"/>
      <c r="B9" s="4"/>
      <c r="C9" s="4"/>
      <c r="D9" s="4"/>
      <c r="E9" s="4"/>
      <c r="F9" s="41"/>
      <c r="G9" s="41"/>
      <c r="H9" s="41"/>
      <c r="I9" s="41"/>
      <c r="J9" s="5"/>
      <c r="K9" s="43"/>
      <c r="L9" s="43"/>
      <c r="M9" s="43"/>
      <c r="Q9" s="43"/>
      <c r="R9" s="43"/>
      <c r="S9" s="43"/>
      <c r="T9" s="43"/>
      <c r="W9" s="43"/>
      <c r="Y9" s="95"/>
      <c r="Z9" s="93"/>
      <c r="AA9" s="93"/>
      <c r="AB9" s="93"/>
      <c r="AC9" s="93"/>
      <c r="AD9" s="93"/>
      <c r="AE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</row>
    <row r="10" spans="1:31" ht="20.25" customHeight="1">
      <c r="A10" s="6" t="s">
        <v>71</v>
      </c>
      <c r="B10" s="7"/>
      <c r="C10" s="8" t="s">
        <v>126</v>
      </c>
      <c r="D10" s="7"/>
      <c r="E10" s="7"/>
      <c r="F10" s="7"/>
      <c r="G10" s="7"/>
      <c r="H10" s="7"/>
      <c r="I10" s="7"/>
      <c r="J10" s="9"/>
      <c r="Y10" s="50"/>
      <c r="Z10" s="49"/>
      <c r="AA10" s="49"/>
      <c r="AB10" s="49"/>
      <c r="AC10" s="49"/>
      <c r="AD10" s="49"/>
      <c r="AE10" s="49"/>
    </row>
    <row r="11" spans="1:31" ht="15.75">
      <c r="A11" s="10" t="s">
        <v>72</v>
      </c>
      <c r="B11" s="59"/>
      <c r="C11" s="60" t="s">
        <v>127</v>
      </c>
      <c r="D11" s="61"/>
      <c r="E11" s="62"/>
      <c r="F11" s="48"/>
      <c r="G11" s="11"/>
      <c r="H11" s="48"/>
      <c r="I11" s="12"/>
      <c r="J11" s="13"/>
      <c r="K11" s="83">
        <f>L11+M11</f>
        <v>321.05999999999995</v>
      </c>
      <c r="L11" s="83">
        <v>274.59</v>
      </c>
      <c r="M11" s="83">
        <v>46.47</v>
      </c>
      <c r="N11" s="53">
        <f>K11*N$8</f>
        <v>385.59306</v>
      </c>
      <c r="O11" s="53">
        <f>L11*O$8</f>
        <v>329.78258999999997</v>
      </c>
      <c r="P11" s="53">
        <f>M11*P$8</f>
        <v>55.81047</v>
      </c>
      <c r="Q11" s="82">
        <f>ROUNDDOWN(N11,2)</f>
        <v>385.59</v>
      </c>
      <c r="R11" s="82">
        <f>ROUNDDOWN(O11,2)</f>
        <v>329.78</v>
      </c>
      <c r="S11" s="82">
        <f>ROUNDDOWN(P11,2)</f>
        <v>55.81</v>
      </c>
      <c r="T11" s="101">
        <f>R11+S11</f>
        <v>385.59</v>
      </c>
      <c r="U11" s="102">
        <f>Q11-W11</f>
        <v>370.16999999999996</v>
      </c>
      <c r="V11" s="52">
        <f>N11*0.04</f>
        <v>15.423722399999999</v>
      </c>
      <c r="W11" s="82">
        <f>ROUNDDOWN(V11,2)</f>
        <v>15.42</v>
      </c>
      <c r="X11" s="53">
        <f>F11+H11-Q11</f>
        <v>-385.59</v>
      </c>
      <c r="Y11" s="50"/>
      <c r="Z11" s="49"/>
      <c r="AA11" s="49"/>
      <c r="AB11" s="49"/>
      <c r="AC11" s="49"/>
      <c r="AD11" s="49"/>
      <c r="AE11" s="49"/>
    </row>
    <row r="12" spans="1:70" s="31" customFormat="1" ht="7.5" customHeight="1">
      <c r="A12" s="10"/>
      <c r="B12" s="14"/>
      <c r="C12" s="14"/>
      <c r="D12" s="14"/>
      <c r="E12" s="15"/>
      <c r="F12" s="16"/>
      <c r="G12" s="16"/>
      <c r="H12" s="16"/>
      <c r="I12" s="15"/>
      <c r="J12" s="17"/>
      <c r="K12" s="32"/>
      <c r="L12" s="32"/>
      <c r="M12" s="32"/>
      <c r="Q12" s="50"/>
      <c r="R12" s="50"/>
      <c r="S12" s="50"/>
      <c r="T12" s="50"/>
      <c r="U12" s="49"/>
      <c r="V12" s="1"/>
      <c r="W12" s="50"/>
      <c r="X12" s="1"/>
      <c r="Y12" s="96"/>
      <c r="Z12" s="97"/>
      <c r="AA12" s="97"/>
      <c r="AB12" s="97"/>
      <c r="AC12" s="97"/>
      <c r="AD12" s="97"/>
      <c r="AE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</row>
    <row r="13" spans="1:31" ht="20.25" customHeight="1">
      <c r="A13" s="6" t="s">
        <v>73</v>
      </c>
      <c r="B13" s="7"/>
      <c r="C13" s="18" t="s">
        <v>30</v>
      </c>
      <c r="D13" s="7"/>
      <c r="E13" s="19"/>
      <c r="F13" s="19"/>
      <c r="G13" s="19"/>
      <c r="H13" s="19"/>
      <c r="I13" s="19"/>
      <c r="J13" s="20"/>
      <c r="N13" s="49"/>
      <c r="O13" s="49"/>
      <c r="P13" s="49"/>
      <c r="Q13" s="50"/>
      <c r="R13" s="50"/>
      <c r="S13" s="50"/>
      <c r="T13" s="50"/>
      <c r="U13" s="49"/>
      <c r="V13" s="49"/>
      <c r="W13" s="50"/>
      <c r="X13" s="47"/>
      <c r="Y13" s="50"/>
      <c r="Z13" s="49"/>
      <c r="AA13" s="49"/>
      <c r="AB13" s="49"/>
      <c r="AC13" s="49"/>
      <c r="AD13" s="49"/>
      <c r="AE13" s="49"/>
    </row>
    <row r="14" spans="1:31" ht="31.5">
      <c r="A14" s="54" t="s">
        <v>74</v>
      </c>
      <c r="B14" s="44" t="s">
        <v>13</v>
      </c>
      <c r="C14" s="57" t="s">
        <v>14</v>
      </c>
      <c r="D14" s="44" t="s">
        <v>15</v>
      </c>
      <c r="E14" s="46">
        <v>4035.89</v>
      </c>
      <c r="F14" s="48">
        <f>R14</f>
        <v>0.73</v>
      </c>
      <c r="G14" s="11">
        <f>E14*F14</f>
        <v>2946.1996999999997</v>
      </c>
      <c r="H14" s="48">
        <f>S14</f>
        <v>1.9</v>
      </c>
      <c r="I14" s="12">
        <f>E14*H14</f>
        <v>7668.191</v>
      </c>
      <c r="J14" s="13">
        <f>G14+I14</f>
        <v>10614.3907</v>
      </c>
      <c r="K14" s="83">
        <f>L14+M14</f>
        <v>2.2</v>
      </c>
      <c r="L14" s="83">
        <v>0.61</v>
      </c>
      <c r="M14" s="83">
        <v>1.59</v>
      </c>
      <c r="N14" s="53">
        <f aca="true" t="shared" si="0" ref="N14:P18">K14*N$8</f>
        <v>2.6422000000000003</v>
      </c>
      <c r="O14" s="53">
        <f t="shared" si="0"/>
        <v>0.73261</v>
      </c>
      <c r="P14" s="53">
        <f t="shared" si="0"/>
        <v>1.9095900000000001</v>
      </c>
      <c r="Q14" s="82">
        <f aca="true" t="shared" si="1" ref="Q14:S18">ROUNDDOWN(N14,2)</f>
        <v>2.64</v>
      </c>
      <c r="R14" s="82">
        <f t="shared" si="1"/>
        <v>0.73</v>
      </c>
      <c r="S14" s="82">
        <f t="shared" si="1"/>
        <v>1.9</v>
      </c>
      <c r="T14" s="101">
        <f>R14+S14</f>
        <v>2.63</v>
      </c>
      <c r="U14" s="102">
        <f>Q14-W14</f>
        <v>2.54</v>
      </c>
      <c r="V14" s="52">
        <f>N14*0.04</f>
        <v>0.10568800000000002</v>
      </c>
      <c r="W14" s="82">
        <f>ROUNDDOWN(V14,2)</f>
        <v>0.1</v>
      </c>
      <c r="X14" s="53">
        <f>F14+H14-Q14</f>
        <v>-0.010000000000000231</v>
      </c>
      <c r="Y14" s="50"/>
      <c r="Z14" s="49"/>
      <c r="AA14" s="49"/>
      <c r="AB14" s="49"/>
      <c r="AC14" s="49"/>
      <c r="AD14" s="49"/>
      <c r="AE14" s="49"/>
    </row>
    <row r="15" spans="1:31" ht="15.75">
      <c r="A15" s="54" t="s">
        <v>75</v>
      </c>
      <c r="B15" s="44">
        <v>72942</v>
      </c>
      <c r="C15" s="57" t="s">
        <v>34</v>
      </c>
      <c r="D15" s="44" t="s">
        <v>15</v>
      </c>
      <c r="E15" s="46">
        <v>4035.89</v>
      </c>
      <c r="F15" s="48">
        <f>R15</f>
        <v>2.55</v>
      </c>
      <c r="G15" s="11">
        <f>E15*F15</f>
        <v>10291.519499999999</v>
      </c>
      <c r="H15" s="48">
        <f>S15</f>
        <v>0.31</v>
      </c>
      <c r="I15" s="12">
        <f>E15*H15</f>
        <v>1251.1259</v>
      </c>
      <c r="J15" s="13">
        <f>G15+I15</f>
        <v>11542.645399999998</v>
      </c>
      <c r="K15" s="83">
        <f>L15+M15</f>
        <v>2.3899999999999997</v>
      </c>
      <c r="L15" s="83">
        <v>2.13</v>
      </c>
      <c r="M15" s="83">
        <v>0.26</v>
      </c>
      <c r="N15" s="53">
        <f t="shared" si="0"/>
        <v>2.87039</v>
      </c>
      <c r="O15" s="53">
        <f t="shared" si="0"/>
        <v>2.5581300000000002</v>
      </c>
      <c r="P15" s="53">
        <f t="shared" si="0"/>
        <v>0.31226000000000004</v>
      </c>
      <c r="Q15" s="82">
        <f t="shared" si="1"/>
        <v>2.87</v>
      </c>
      <c r="R15" s="82">
        <f t="shared" si="1"/>
        <v>2.55</v>
      </c>
      <c r="S15" s="82">
        <f t="shared" si="1"/>
        <v>0.31</v>
      </c>
      <c r="T15" s="101">
        <f>R15+S15</f>
        <v>2.86</v>
      </c>
      <c r="U15" s="102">
        <f>Q15-W15</f>
        <v>2.7600000000000002</v>
      </c>
      <c r="V15" s="52">
        <f>N15*0.04</f>
        <v>0.1148156</v>
      </c>
      <c r="W15" s="82">
        <f>ROUNDDOWN(V15,2)</f>
        <v>0.11</v>
      </c>
      <c r="X15" s="53"/>
      <c r="Y15" s="50"/>
      <c r="Z15" s="49"/>
      <c r="AA15" s="49"/>
      <c r="AB15" s="49"/>
      <c r="AC15" s="49"/>
      <c r="AD15" s="49"/>
      <c r="AE15" s="49"/>
    </row>
    <row r="16" spans="1:31" ht="31.5">
      <c r="A16" s="54" t="s">
        <v>76</v>
      </c>
      <c r="B16" s="58">
        <v>95303</v>
      </c>
      <c r="C16" s="45" t="s">
        <v>47</v>
      </c>
      <c r="D16" s="44" t="s">
        <v>19</v>
      </c>
      <c r="E16" s="46">
        <f>E18*20.1</f>
        <v>4056.0694500000004</v>
      </c>
      <c r="F16" s="48">
        <f>R16</f>
        <v>1.62</v>
      </c>
      <c r="G16" s="11">
        <f>E16*F16</f>
        <v>6570.832509000001</v>
      </c>
      <c r="H16" s="48">
        <f>S16</f>
        <v>0.15</v>
      </c>
      <c r="I16" s="12">
        <f>E16*H16</f>
        <v>608.4104175</v>
      </c>
      <c r="J16" s="13">
        <f>G16+I16</f>
        <v>7179.242926500001</v>
      </c>
      <c r="K16" s="83">
        <f>L16+M16</f>
        <v>1.48</v>
      </c>
      <c r="L16" s="83">
        <v>1.35</v>
      </c>
      <c r="M16" s="83">
        <v>0.13</v>
      </c>
      <c r="N16" s="53">
        <f t="shared" si="0"/>
        <v>1.7774800000000002</v>
      </c>
      <c r="O16" s="53">
        <f t="shared" si="0"/>
        <v>1.6213500000000003</v>
      </c>
      <c r="P16" s="53">
        <f t="shared" si="0"/>
        <v>0.15613000000000002</v>
      </c>
      <c r="Q16" s="82">
        <f t="shared" si="1"/>
        <v>1.77</v>
      </c>
      <c r="R16" s="82">
        <f t="shared" si="1"/>
        <v>1.62</v>
      </c>
      <c r="S16" s="82">
        <f t="shared" si="1"/>
        <v>0.15</v>
      </c>
      <c r="T16" s="101">
        <f>R16+S16</f>
        <v>1.77</v>
      </c>
      <c r="U16" s="102">
        <f>Q16-W16</f>
        <v>1.7</v>
      </c>
      <c r="V16" s="52">
        <f>N16*0.04</f>
        <v>0.07109920000000002</v>
      </c>
      <c r="W16" s="82">
        <f>ROUNDDOWN(V16,2)</f>
        <v>0.07</v>
      </c>
      <c r="X16" s="53"/>
      <c r="Y16" s="50"/>
      <c r="Z16" s="49"/>
      <c r="AA16" s="49"/>
      <c r="AB16" s="49"/>
      <c r="AC16" s="49"/>
      <c r="AD16" s="49"/>
      <c r="AE16" s="49"/>
    </row>
    <row r="17" spans="1:31" ht="31.5">
      <c r="A17" s="54" t="s">
        <v>77</v>
      </c>
      <c r="B17" s="58">
        <v>72846</v>
      </c>
      <c r="C17" s="45" t="s">
        <v>1</v>
      </c>
      <c r="D17" s="44" t="s">
        <v>31</v>
      </c>
      <c r="E17" s="46">
        <f>E18*2.4</f>
        <v>484.30679999999995</v>
      </c>
      <c r="F17" s="48">
        <f>R17</f>
        <v>4.67</v>
      </c>
      <c r="G17" s="11">
        <f>E17*F17</f>
        <v>2261.712756</v>
      </c>
      <c r="H17" s="48">
        <f>S17</f>
        <v>0.64</v>
      </c>
      <c r="I17" s="12">
        <f>E17*H17</f>
        <v>309.956352</v>
      </c>
      <c r="J17" s="13">
        <f>G17+I17</f>
        <v>2571.669108</v>
      </c>
      <c r="K17" s="83">
        <f>L17+M17</f>
        <v>4.43</v>
      </c>
      <c r="L17" s="83">
        <v>3.89</v>
      </c>
      <c r="M17" s="83">
        <v>0.54</v>
      </c>
      <c r="N17" s="53">
        <f t="shared" si="0"/>
        <v>5.32043</v>
      </c>
      <c r="O17" s="53">
        <f t="shared" si="0"/>
        <v>4.67189</v>
      </c>
      <c r="P17" s="53">
        <f t="shared" si="0"/>
        <v>0.6485400000000001</v>
      </c>
      <c r="Q17" s="82">
        <f t="shared" si="1"/>
        <v>5.32</v>
      </c>
      <c r="R17" s="82">
        <f t="shared" si="1"/>
        <v>4.67</v>
      </c>
      <c r="S17" s="82">
        <f t="shared" si="1"/>
        <v>0.64</v>
      </c>
      <c r="T17" s="101">
        <f>R17+S17</f>
        <v>5.31</v>
      </c>
      <c r="U17" s="102">
        <f>Q17-W17</f>
        <v>5.11</v>
      </c>
      <c r="V17" s="52">
        <f>N17*0.04</f>
        <v>0.2128172</v>
      </c>
      <c r="W17" s="82">
        <f>ROUNDDOWN(V17,2)</f>
        <v>0.21</v>
      </c>
      <c r="X17" s="53"/>
      <c r="Y17" s="50"/>
      <c r="Z17" s="49"/>
      <c r="AA17" s="49"/>
      <c r="AB17" s="49"/>
      <c r="AC17" s="49"/>
      <c r="AD17" s="49"/>
      <c r="AE17" s="49"/>
    </row>
    <row r="18" spans="1:31" ht="31.5">
      <c r="A18" s="54" t="s">
        <v>78</v>
      </c>
      <c r="B18" s="58" t="s">
        <v>133</v>
      </c>
      <c r="C18" s="45" t="s">
        <v>70</v>
      </c>
      <c r="D18" s="44" t="s">
        <v>10</v>
      </c>
      <c r="E18" s="46">
        <f>E15*0.05</f>
        <v>201.7945</v>
      </c>
      <c r="F18" s="48">
        <f>R18</f>
        <v>1052.26</v>
      </c>
      <c r="G18" s="11">
        <f>E18*F18</f>
        <v>212340.28057</v>
      </c>
      <c r="H18" s="48">
        <f>S18</f>
        <v>54.47</v>
      </c>
      <c r="I18" s="12">
        <f>E18*H18</f>
        <v>10991.746415</v>
      </c>
      <c r="J18" s="13">
        <f>G18+I18</f>
        <v>223332.026985</v>
      </c>
      <c r="K18" s="84">
        <f>L18+M18</f>
        <v>921.52</v>
      </c>
      <c r="L18" s="84">
        <v>876.16</v>
      </c>
      <c r="M18" s="84">
        <v>45.36</v>
      </c>
      <c r="N18" s="53">
        <f t="shared" si="0"/>
        <v>1106.74552</v>
      </c>
      <c r="O18" s="53">
        <f t="shared" si="0"/>
        <v>1052.26816</v>
      </c>
      <c r="P18" s="53">
        <f t="shared" si="0"/>
        <v>54.477360000000004</v>
      </c>
      <c r="Q18" s="82">
        <f t="shared" si="1"/>
        <v>1106.74</v>
      </c>
      <c r="R18" s="82">
        <f t="shared" si="1"/>
        <v>1052.26</v>
      </c>
      <c r="S18" s="82">
        <f t="shared" si="1"/>
        <v>54.47</v>
      </c>
      <c r="T18" s="101">
        <f>R18+S18</f>
        <v>1106.73</v>
      </c>
      <c r="U18" s="102">
        <f>Q18-W18</f>
        <v>1062.48</v>
      </c>
      <c r="V18" s="52">
        <f>N18*0.04</f>
        <v>44.2698208</v>
      </c>
      <c r="W18" s="82">
        <f>ROUNDDOWN(V18,2)</f>
        <v>44.26</v>
      </c>
      <c r="X18" s="53"/>
      <c r="Y18" s="50"/>
      <c r="Z18" s="49"/>
      <c r="AA18" s="49"/>
      <c r="AB18" s="49"/>
      <c r="AC18" s="49"/>
      <c r="AD18" s="49"/>
      <c r="AE18" s="49"/>
    </row>
    <row r="19" spans="1:70" s="31" customFormat="1" ht="15.75">
      <c r="A19" s="54"/>
      <c r="B19" s="14"/>
      <c r="C19" s="14" t="s">
        <v>11</v>
      </c>
      <c r="D19" s="14"/>
      <c r="E19" s="15"/>
      <c r="F19" s="16"/>
      <c r="G19" s="16">
        <f>SUM(G14:G18)</f>
        <v>234410.54503500002</v>
      </c>
      <c r="H19" s="16"/>
      <c r="I19" s="16">
        <f>SUM(I14:I18)</f>
        <v>20829.430084499996</v>
      </c>
      <c r="J19" s="16">
        <f>SUM(J14:J18)</f>
        <v>255239.9751195</v>
      </c>
      <c r="K19" s="32"/>
      <c r="L19" s="32"/>
      <c r="M19" s="32"/>
      <c r="Q19" s="50"/>
      <c r="R19" s="50"/>
      <c r="S19" s="50"/>
      <c r="T19" s="50"/>
      <c r="U19" s="49"/>
      <c r="V19" s="1"/>
      <c r="W19" s="50"/>
      <c r="X19" s="1"/>
      <c r="Y19" s="96"/>
      <c r="Z19" s="97"/>
      <c r="AA19" s="97"/>
      <c r="AB19" s="97"/>
      <c r="AC19" s="97"/>
      <c r="AD19" s="97"/>
      <c r="AE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</row>
    <row r="20" spans="1:70" s="31" customFormat="1" ht="8.25" customHeight="1">
      <c r="A20" s="54"/>
      <c r="B20" s="14"/>
      <c r="C20" s="14"/>
      <c r="D20" s="14"/>
      <c r="E20" s="15"/>
      <c r="F20" s="16"/>
      <c r="G20" s="16"/>
      <c r="H20" s="16"/>
      <c r="I20" s="15"/>
      <c r="J20" s="17"/>
      <c r="K20" s="32"/>
      <c r="L20" s="32"/>
      <c r="M20" s="32"/>
      <c r="Q20" s="50"/>
      <c r="R20" s="50"/>
      <c r="S20" s="50"/>
      <c r="T20" s="50"/>
      <c r="U20" s="49"/>
      <c r="V20" s="1"/>
      <c r="W20" s="50"/>
      <c r="X20" s="1"/>
      <c r="Y20" s="96"/>
      <c r="Z20" s="97"/>
      <c r="AA20" s="97"/>
      <c r="AB20" s="97"/>
      <c r="AC20" s="97"/>
      <c r="AD20" s="97"/>
      <c r="AE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</row>
    <row r="21" spans="1:31" ht="18" customHeight="1">
      <c r="A21" s="6" t="s">
        <v>79</v>
      </c>
      <c r="B21" s="7"/>
      <c r="C21" s="8" t="s">
        <v>26</v>
      </c>
      <c r="D21" s="7"/>
      <c r="E21" s="19"/>
      <c r="F21" s="19"/>
      <c r="G21" s="19"/>
      <c r="H21" s="19"/>
      <c r="I21" s="19"/>
      <c r="J21" s="20"/>
      <c r="Q21" s="50"/>
      <c r="R21" s="50"/>
      <c r="S21" s="50"/>
      <c r="T21" s="50"/>
      <c r="U21" s="49"/>
      <c r="W21" s="50"/>
      <c r="Y21" s="50"/>
      <c r="Z21" s="49"/>
      <c r="AA21" s="49"/>
      <c r="AB21" s="49"/>
      <c r="AC21" s="49"/>
      <c r="AD21" s="49"/>
      <c r="AE21" s="49"/>
    </row>
    <row r="22" spans="1:31" ht="31.5">
      <c r="A22" s="54" t="s">
        <v>80</v>
      </c>
      <c r="B22" s="55">
        <v>72947</v>
      </c>
      <c r="C22" s="56" t="s">
        <v>50</v>
      </c>
      <c r="D22" s="44" t="s">
        <v>15</v>
      </c>
      <c r="E22" s="46">
        <v>69</v>
      </c>
      <c r="F22" s="48">
        <f>R22</f>
        <v>19.5</v>
      </c>
      <c r="G22" s="11">
        <f>E22*F22</f>
        <v>1345.5</v>
      </c>
      <c r="H22" s="48">
        <f>S22</f>
        <v>0.84</v>
      </c>
      <c r="I22" s="12">
        <f>E22*H22</f>
        <v>57.96</v>
      </c>
      <c r="J22" s="13">
        <f>G22+I22</f>
        <v>1403.46</v>
      </c>
      <c r="K22" s="83">
        <f>L22+M22</f>
        <v>16.939999999999998</v>
      </c>
      <c r="L22" s="83">
        <v>16.24</v>
      </c>
      <c r="M22" s="83">
        <v>0.7</v>
      </c>
      <c r="N22" s="53">
        <f>K22*N$8</f>
        <v>20.344939999999998</v>
      </c>
      <c r="O22" s="53">
        <f>L22*O$8</f>
        <v>19.50424</v>
      </c>
      <c r="P22" s="53">
        <f>M22*P$8</f>
        <v>0.8407</v>
      </c>
      <c r="Q22" s="82">
        <f>ROUNDDOWN(N22,2)</f>
        <v>20.34</v>
      </c>
      <c r="R22" s="82">
        <f>ROUNDDOWN(O22,2)</f>
        <v>19.5</v>
      </c>
      <c r="S22" s="82">
        <f>ROUNDDOWN(P22,2)</f>
        <v>0.84</v>
      </c>
      <c r="T22" s="101">
        <f>R22+S22</f>
        <v>20.34</v>
      </c>
      <c r="U22" s="102">
        <f>Q22-W22</f>
        <v>19.53</v>
      </c>
      <c r="V22" s="52">
        <f>N22*0.04</f>
        <v>0.8137975999999999</v>
      </c>
      <c r="W22" s="82">
        <f>ROUNDDOWN(V22,2)</f>
        <v>0.81</v>
      </c>
      <c r="X22" s="53">
        <f>F22+H22-Q22</f>
        <v>0</v>
      </c>
      <c r="Y22" s="50"/>
      <c r="Z22" s="49"/>
      <c r="AA22" s="49"/>
      <c r="AB22" s="49"/>
      <c r="AC22" s="49"/>
      <c r="AD22" s="49"/>
      <c r="AE22" s="49"/>
    </row>
    <row r="23" spans="1:70" s="31" customFormat="1" ht="15.75">
      <c r="A23" s="54"/>
      <c r="B23" s="14"/>
      <c r="C23" s="14" t="s">
        <v>11</v>
      </c>
      <c r="D23" s="14"/>
      <c r="E23" s="15"/>
      <c r="F23" s="16"/>
      <c r="G23" s="16">
        <f>SUM(G22:G22)</f>
        <v>1345.5</v>
      </c>
      <c r="H23" s="16"/>
      <c r="I23" s="15">
        <f>SUM(I22:I22)</f>
        <v>57.96</v>
      </c>
      <c r="J23" s="21">
        <f>SUM(J22:J22)</f>
        <v>1403.46</v>
      </c>
      <c r="K23" s="32"/>
      <c r="L23" s="32"/>
      <c r="M23" s="32"/>
      <c r="Q23" s="50"/>
      <c r="R23" s="50"/>
      <c r="S23" s="50"/>
      <c r="T23" s="50"/>
      <c r="U23" s="49"/>
      <c r="V23" s="1"/>
      <c r="W23" s="50"/>
      <c r="X23" s="1"/>
      <c r="Y23" s="96"/>
      <c r="Z23" s="97"/>
      <c r="AA23" s="97"/>
      <c r="AB23" s="97"/>
      <c r="AC23" s="97"/>
      <c r="AD23" s="97"/>
      <c r="AE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</row>
    <row r="24" spans="1:70" s="31" customFormat="1" ht="9" customHeight="1">
      <c r="A24" s="54"/>
      <c r="B24" s="14"/>
      <c r="C24" s="14"/>
      <c r="D24" s="14"/>
      <c r="E24" s="15"/>
      <c r="F24" s="16"/>
      <c r="G24" s="16"/>
      <c r="H24" s="16"/>
      <c r="I24" s="15"/>
      <c r="J24" s="21"/>
      <c r="K24" s="32"/>
      <c r="L24" s="32"/>
      <c r="M24" s="32"/>
      <c r="Q24" s="50"/>
      <c r="R24" s="50"/>
      <c r="S24" s="50"/>
      <c r="T24" s="50"/>
      <c r="U24" s="49"/>
      <c r="V24" s="1"/>
      <c r="W24" s="50"/>
      <c r="X24" s="1"/>
      <c r="Y24" s="96"/>
      <c r="Z24" s="97"/>
      <c r="AA24" s="97"/>
      <c r="AB24" s="97"/>
      <c r="AC24" s="97"/>
      <c r="AD24" s="97"/>
      <c r="AE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</row>
    <row r="25" spans="1:70" ht="15.75">
      <c r="A25" s="6" t="s">
        <v>147</v>
      </c>
      <c r="B25" s="7"/>
      <c r="C25" s="8" t="s">
        <v>54</v>
      </c>
      <c r="D25" s="7"/>
      <c r="E25" s="19"/>
      <c r="F25" s="19"/>
      <c r="G25" s="19"/>
      <c r="H25" s="19"/>
      <c r="I25" s="19"/>
      <c r="J25" s="20"/>
      <c r="L25" s="1"/>
      <c r="P25" s="35"/>
      <c r="Q25" s="1"/>
      <c r="S25" s="1"/>
      <c r="T25" s="1"/>
      <c r="W25" s="1"/>
      <c r="Y25" s="1"/>
      <c r="AK25" s="49"/>
      <c r="AL25" s="49"/>
      <c r="AM25" s="49"/>
      <c r="AN25" s="49"/>
      <c r="AO25" s="49"/>
      <c r="AP25" s="49"/>
      <c r="AQ25" s="49"/>
      <c r="BL25" s="1"/>
      <c r="BM25" s="1"/>
      <c r="BN25" s="1"/>
      <c r="BO25" s="1"/>
      <c r="BP25" s="1"/>
      <c r="BQ25" s="1"/>
      <c r="BR25" s="1"/>
    </row>
    <row r="26" spans="1:70" ht="15.75">
      <c r="A26" s="54" t="s">
        <v>148</v>
      </c>
      <c r="B26" s="22" t="s">
        <v>55</v>
      </c>
      <c r="C26" s="45" t="s">
        <v>56</v>
      </c>
      <c r="D26" s="55" t="s">
        <v>15</v>
      </c>
      <c r="E26" s="12">
        <v>10</v>
      </c>
      <c r="F26" s="48">
        <f aca="true" t="shared" si="2" ref="F26:F34">R26</f>
        <v>115.64</v>
      </c>
      <c r="G26" s="11">
        <f aca="true" t="shared" si="3" ref="G26:G34">E26*F26</f>
        <v>1156.4</v>
      </c>
      <c r="H26" s="48">
        <f aca="true" t="shared" si="4" ref="H26:H34">S26</f>
        <v>6.68</v>
      </c>
      <c r="I26" s="12">
        <f aca="true" t="shared" si="5" ref="I26:I34">E26*H26</f>
        <v>66.8</v>
      </c>
      <c r="J26" s="13">
        <f aca="true" t="shared" si="6" ref="J26:J34">G26+I26</f>
        <v>1223.2</v>
      </c>
      <c r="K26" s="83">
        <f aca="true" t="shared" si="7" ref="K26:K34">L26+M26</f>
        <v>101.86000000000001</v>
      </c>
      <c r="L26" s="83">
        <v>96.29</v>
      </c>
      <c r="M26" s="83">
        <v>5.57</v>
      </c>
      <c r="N26" s="53">
        <f aca="true" t="shared" si="8" ref="N26:N34">K26*N$8</f>
        <v>122.33386000000003</v>
      </c>
      <c r="O26" s="53">
        <f aca="true" t="shared" si="9" ref="O26:O34">L26*O$8</f>
        <v>115.64429000000001</v>
      </c>
      <c r="P26" s="53">
        <f aca="true" t="shared" si="10" ref="P26:P34">M26*P$8</f>
        <v>6.689570000000001</v>
      </c>
      <c r="Q26" s="82">
        <f aca="true" t="shared" si="11" ref="Q26:Q34">ROUNDDOWN(N26,2)</f>
        <v>122.33</v>
      </c>
      <c r="R26" s="82">
        <f aca="true" t="shared" si="12" ref="R26:R34">ROUNDDOWN(O26,2)</f>
        <v>115.64</v>
      </c>
      <c r="S26" s="82">
        <f aca="true" t="shared" si="13" ref="S26:S34">ROUNDDOWN(P26,2)</f>
        <v>6.68</v>
      </c>
      <c r="T26" s="101">
        <f aca="true" t="shared" si="14" ref="T26:T34">R26+S26</f>
        <v>122.32</v>
      </c>
      <c r="U26" s="102">
        <f aca="true" t="shared" si="15" ref="U26:U34">Q26-W26</f>
        <v>117.44</v>
      </c>
      <c r="V26" s="52">
        <f aca="true" t="shared" si="16" ref="V26:V34">N26*0.04</f>
        <v>4.8933544000000015</v>
      </c>
      <c r="W26" s="82">
        <f aca="true" t="shared" si="17" ref="W26:W34">ROUNDDOWN(V26,2)</f>
        <v>4.89</v>
      </c>
      <c r="X26" s="53">
        <f aca="true" t="shared" si="18" ref="X26:X34">F26+H26-Q26</f>
        <v>-0.010000000000005116</v>
      </c>
      <c r="Y26" s="1"/>
      <c r="AK26" s="49"/>
      <c r="AL26" s="49"/>
      <c r="AM26" s="49"/>
      <c r="AN26" s="49"/>
      <c r="AO26" s="49"/>
      <c r="AP26" s="49"/>
      <c r="AQ26" s="49"/>
      <c r="BL26" s="1"/>
      <c r="BM26" s="1"/>
      <c r="BN26" s="1"/>
      <c r="BO26" s="1"/>
      <c r="BP26" s="1"/>
      <c r="BQ26" s="1"/>
      <c r="BR26" s="1"/>
    </row>
    <row r="27" spans="1:70" ht="31.5">
      <c r="A27" s="54" t="s">
        <v>149</v>
      </c>
      <c r="B27" s="104">
        <v>96400</v>
      </c>
      <c r="C27" s="45" t="s">
        <v>57</v>
      </c>
      <c r="D27" s="105" t="s">
        <v>10</v>
      </c>
      <c r="E27" s="98">
        <f>E26*0.3</f>
        <v>3</v>
      </c>
      <c r="F27" s="48">
        <f t="shared" si="2"/>
        <v>0.14</v>
      </c>
      <c r="G27" s="11">
        <f t="shared" si="3"/>
        <v>0.42000000000000004</v>
      </c>
      <c r="H27" s="48">
        <f t="shared" si="4"/>
        <v>3.95</v>
      </c>
      <c r="I27" s="12">
        <f t="shared" si="5"/>
        <v>11.850000000000001</v>
      </c>
      <c r="J27" s="13">
        <f t="shared" si="6"/>
        <v>12.270000000000001</v>
      </c>
      <c r="K27" s="83">
        <f t="shared" si="7"/>
        <v>3.41</v>
      </c>
      <c r="L27" s="83">
        <v>0.12</v>
      </c>
      <c r="M27" s="83">
        <v>3.29</v>
      </c>
      <c r="N27" s="53">
        <f t="shared" si="8"/>
        <v>4.09541</v>
      </c>
      <c r="O27" s="53">
        <f t="shared" si="9"/>
        <v>0.14412</v>
      </c>
      <c r="P27" s="53">
        <f t="shared" si="10"/>
        <v>3.95129</v>
      </c>
      <c r="Q27" s="82">
        <f t="shared" si="11"/>
        <v>4.09</v>
      </c>
      <c r="R27" s="82">
        <f t="shared" si="12"/>
        <v>0.14</v>
      </c>
      <c r="S27" s="82">
        <f t="shared" si="13"/>
        <v>3.95</v>
      </c>
      <c r="T27" s="101">
        <f t="shared" si="14"/>
        <v>4.09</v>
      </c>
      <c r="U27" s="102">
        <f t="shared" si="15"/>
        <v>3.9299999999999997</v>
      </c>
      <c r="V27" s="52">
        <f t="shared" si="16"/>
        <v>0.1638164</v>
      </c>
      <c r="W27" s="82">
        <f t="shared" si="17"/>
        <v>0.16</v>
      </c>
      <c r="X27" s="53">
        <f t="shared" si="18"/>
        <v>0</v>
      </c>
      <c r="Y27" s="1"/>
      <c r="AK27" s="49"/>
      <c r="AL27" s="49"/>
      <c r="AM27" s="49"/>
      <c r="AN27" s="49"/>
      <c r="AO27" s="49"/>
      <c r="AP27" s="49"/>
      <c r="AQ27" s="49"/>
      <c r="BL27" s="1"/>
      <c r="BM27" s="1"/>
      <c r="BN27" s="1"/>
      <c r="BO27" s="1"/>
      <c r="BP27" s="1"/>
      <c r="BQ27" s="1"/>
      <c r="BR27" s="1"/>
    </row>
    <row r="28" spans="1:70" ht="31.5">
      <c r="A28" s="54" t="s">
        <v>150</v>
      </c>
      <c r="B28" s="104">
        <v>72887</v>
      </c>
      <c r="C28" s="45" t="s">
        <v>58</v>
      </c>
      <c r="D28" s="105" t="s">
        <v>19</v>
      </c>
      <c r="E28" s="98">
        <f>E27*20.1</f>
        <v>60.300000000000004</v>
      </c>
      <c r="F28" s="48">
        <f t="shared" si="2"/>
        <v>1.4</v>
      </c>
      <c r="G28" s="11">
        <f t="shared" si="3"/>
        <v>84.42</v>
      </c>
      <c r="H28" s="48">
        <f t="shared" si="4"/>
        <v>0.15</v>
      </c>
      <c r="I28" s="12">
        <f t="shared" si="5"/>
        <v>9.045</v>
      </c>
      <c r="J28" s="13">
        <f t="shared" si="6"/>
        <v>93.465</v>
      </c>
      <c r="K28" s="83">
        <f t="shared" si="7"/>
        <v>1.2999999999999998</v>
      </c>
      <c r="L28" s="83">
        <v>1.17</v>
      </c>
      <c r="M28" s="83">
        <v>0.13</v>
      </c>
      <c r="N28" s="53">
        <f t="shared" si="8"/>
        <v>1.5613</v>
      </c>
      <c r="O28" s="53">
        <f t="shared" si="9"/>
        <v>1.40517</v>
      </c>
      <c r="P28" s="53">
        <f t="shared" si="10"/>
        <v>0.15613000000000002</v>
      </c>
      <c r="Q28" s="82">
        <f t="shared" si="11"/>
        <v>1.56</v>
      </c>
      <c r="R28" s="82">
        <f t="shared" si="12"/>
        <v>1.4</v>
      </c>
      <c r="S28" s="82">
        <f t="shared" si="13"/>
        <v>0.15</v>
      </c>
      <c r="T28" s="101">
        <f t="shared" si="14"/>
        <v>1.5499999999999998</v>
      </c>
      <c r="U28" s="102">
        <f t="shared" si="15"/>
        <v>1.5</v>
      </c>
      <c r="V28" s="52">
        <f t="shared" si="16"/>
        <v>0.062452</v>
      </c>
      <c r="W28" s="82">
        <f t="shared" si="17"/>
        <v>0.06</v>
      </c>
      <c r="X28" s="53">
        <f t="shared" si="18"/>
        <v>-0.010000000000000231</v>
      </c>
      <c r="Y28" s="1"/>
      <c r="AK28" s="49"/>
      <c r="AL28" s="49"/>
      <c r="AM28" s="49"/>
      <c r="AN28" s="49"/>
      <c r="AO28" s="49"/>
      <c r="AP28" s="49"/>
      <c r="AQ28" s="49"/>
      <c r="BL28" s="1"/>
      <c r="BM28" s="1"/>
      <c r="BN28" s="1"/>
      <c r="BO28" s="1"/>
      <c r="BP28" s="1"/>
      <c r="BQ28" s="1"/>
      <c r="BR28" s="1"/>
    </row>
    <row r="29" spans="1:70" ht="15.75">
      <c r="A29" s="54" t="s">
        <v>151</v>
      </c>
      <c r="B29" s="106">
        <v>72893</v>
      </c>
      <c r="C29" s="45" t="s">
        <v>59</v>
      </c>
      <c r="D29" s="55" t="s">
        <v>10</v>
      </c>
      <c r="E29" s="12">
        <f>E27</f>
        <v>3</v>
      </c>
      <c r="F29" s="48">
        <f t="shared" si="2"/>
        <v>3.92</v>
      </c>
      <c r="G29" s="11">
        <f t="shared" si="3"/>
        <v>11.76</v>
      </c>
      <c r="H29" s="48">
        <f t="shared" si="4"/>
        <v>0.44</v>
      </c>
      <c r="I29" s="12">
        <f t="shared" si="5"/>
        <v>1.32</v>
      </c>
      <c r="J29" s="13">
        <f t="shared" si="6"/>
        <v>13.08</v>
      </c>
      <c r="K29" s="83">
        <f t="shared" si="7"/>
        <v>3.64</v>
      </c>
      <c r="L29" s="83">
        <v>3.27</v>
      </c>
      <c r="M29" s="83">
        <v>0.37</v>
      </c>
      <c r="N29" s="53">
        <f t="shared" si="8"/>
        <v>4.37164</v>
      </c>
      <c r="O29" s="53">
        <f t="shared" si="9"/>
        <v>3.92727</v>
      </c>
      <c r="P29" s="53">
        <f t="shared" si="10"/>
        <v>0.44437000000000004</v>
      </c>
      <c r="Q29" s="82">
        <f t="shared" si="11"/>
        <v>4.37</v>
      </c>
      <c r="R29" s="82">
        <f t="shared" si="12"/>
        <v>3.92</v>
      </c>
      <c r="S29" s="82">
        <f t="shared" si="13"/>
        <v>0.44</v>
      </c>
      <c r="T29" s="101">
        <f t="shared" si="14"/>
        <v>4.36</v>
      </c>
      <c r="U29" s="102">
        <f t="shared" si="15"/>
        <v>4.2</v>
      </c>
      <c r="V29" s="52">
        <f t="shared" si="16"/>
        <v>0.1748656</v>
      </c>
      <c r="W29" s="82">
        <f t="shared" si="17"/>
        <v>0.17</v>
      </c>
      <c r="X29" s="53">
        <f t="shared" si="18"/>
        <v>-0.009999999999999787</v>
      </c>
      <c r="Y29" s="1"/>
      <c r="AK29" s="49"/>
      <c r="AL29" s="49"/>
      <c r="AM29" s="49"/>
      <c r="AN29" s="49"/>
      <c r="AO29" s="49"/>
      <c r="AP29" s="49"/>
      <c r="AQ29" s="49"/>
      <c r="BL29" s="1"/>
      <c r="BM29" s="1"/>
      <c r="BN29" s="1"/>
      <c r="BO29" s="1"/>
      <c r="BP29" s="1"/>
      <c r="BQ29" s="1"/>
      <c r="BR29" s="1"/>
    </row>
    <row r="30" spans="1:70" ht="15.75">
      <c r="A30" s="54" t="s">
        <v>152</v>
      </c>
      <c r="B30" s="104">
        <v>96396</v>
      </c>
      <c r="C30" s="45" t="s">
        <v>60</v>
      </c>
      <c r="D30" s="55" t="s">
        <v>10</v>
      </c>
      <c r="E30" s="12">
        <f>E26*0.15</f>
        <v>1.5</v>
      </c>
      <c r="F30" s="48">
        <f t="shared" si="2"/>
        <v>128.66</v>
      </c>
      <c r="G30" s="11">
        <f t="shared" si="3"/>
        <v>192.99</v>
      </c>
      <c r="H30" s="48">
        <f t="shared" si="4"/>
        <v>5.48</v>
      </c>
      <c r="I30" s="12">
        <f t="shared" si="5"/>
        <v>8.22</v>
      </c>
      <c r="J30" s="13">
        <f t="shared" si="6"/>
        <v>201.21</v>
      </c>
      <c r="K30" s="83">
        <f t="shared" si="7"/>
        <v>111.69999999999999</v>
      </c>
      <c r="L30" s="83">
        <v>107.13</v>
      </c>
      <c r="M30" s="83">
        <v>4.57</v>
      </c>
      <c r="N30" s="53">
        <f t="shared" si="8"/>
        <v>134.1517</v>
      </c>
      <c r="O30" s="53">
        <f t="shared" si="9"/>
        <v>128.66313</v>
      </c>
      <c r="P30" s="53">
        <f t="shared" si="10"/>
        <v>5.488570000000001</v>
      </c>
      <c r="Q30" s="82">
        <f t="shared" si="11"/>
        <v>134.15</v>
      </c>
      <c r="R30" s="82">
        <f t="shared" si="12"/>
        <v>128.66</v>
      </c>
      <c r="S30" s="82">
        <f t="shared" si="13"/>
        <v>5.48</v>
      </c>
      <c r="T30" s="101">
        <f t="shared" si="14"/>
        <v>134.14</v>
      </c>
      <c r="U30" s="102">
        <f t="shared" si="15"/>
        <v>128.79</v>
      </c>
      <c r="V30" s="52">
        <f t="shared" si="16"/>
        <v>5.366068</v>
      </c>
      <c r="W30" s="82">
        <f t="shared" si="17"/>
        <v>5.36</v>
      </c>
      <c r="X30" s="53">
        <f t="shared" si="18"/>
        <v>-0.010000000000019327</v>
      </c>
      <c r="Y30" s="1"/>
      <c r="AK30" s="49"/>
      <c r="AL30" s="49"/>
      <c r="AM30" s="49"/>
      <c r="AN30" s="49"/>
      <c r="AO30" s="49"/>
      <c r="AP30" s="49"/>
      <c r="AQ30" s="49"/>
      <c r="BL30" s="1"/>
      <c r="BM30" s="1"/>
      <c r="BN30" s="1"/>
      <c r="BO30" s="1"/>
      <c r="BP30" s="1"/>
      <c r="BQ30" s="1"/>
      <c r="BR30" s="1"/>
    </row>
    <row r="31" spans="1:70" ht="15.75">
      <c r="A31" s="54" t="s">
        <v>153</v>
      </c>
      <c r="B31" s="104">
        <v>72893</v>
      </c>
      <c r="C31" s="45" t="s">
        <v>61</v>
      </c>
      <c r="D31" s="55" t="s">
        <v>17</v>
      </c>
      <c r="E31" s="12">
        <f>E30</f>
        <v>1.5</v>
      </c>
      <c r="F31" s="48">
        <f t="shared" si="2"/>
        <v>3.92</v>
      </c>
      <c r="G31" s="11">
        <f t="shared" si="3"/>
        <v>5.88</v>
      </c>
      <c r="H31" s="48">
        <f t="shared" si="4"/>
        <v>0.44</v>
      </c>
      <c r="I31" s="12">
        <f t="shared" si="5"/>
        <v>0.66</v>
      </c>
      <c r="J31" s="13">
        <f t="shared" si="6"/>
        <v>6.54</v>
      </c>
      <c r="K31" s="83">
        <f t="shared" si="7"/>
        <v>3.64</v>
      </c>
      <c r="L31" s="83">
        <v>3.27</v>
      </c>
      <c r="M31" s="83">
        <v>0.37</v>
      </c>
      <c r="N31" s="53">
        <f t="shared" si="8"/>
        <v>4.37164</v>
      </c>
      <c r="O31" s="53">
        <f t="shared" si="9"/>
        <v>3.92727</v>
      </c>
      <c r="P31" s="53">
        <f t="shared" si="10"/>
        <v>0.44437000000000004</v>
      </c>
      <c r="Q31" s="82">
        <f t="shared" si="11"/>
        <v>4.37</v>
      </c>
      <c r="R31" s="82">
        <f t="shared" si="12"/>
        <v>3.92</v>
      </c>
      <c r="S31" s="82">
        <f t="shared" si="13"/>
        <v>0.44</v>
      </c>
      <c r="T31" s="101">
        <f t="shared" si="14"/>
        <v>4.36</v>
      </c>
      <c r="U31" s="102">
        <f t="shared" si="15"/>
        <v>4.2</v>
      </c>
      <c r="V31" s="52">
        <f t="shared" si="16"/>
        <v>0.1748656</v>
      </c>
      <c r="W31" s="82">
        <f t="shared" si="17"/>
        <v>0.17</v>
      </c>
      <c r="X31" s="53">
        <f t="shared" si="18"/>
        <v>-0.009999999999999787</v>
      </c>
      <c r="Y31" s="1"/>
      <c r="AK31" s="49"/>
      <c r="AL31" s="49"/>
      <c r="AM31" s="49"/>
      <c r="AN31" s="49"/>
      <c r="AO31" s="49"/>
      <c r="AP31" s="49"/>
      <c r="AQ31" s="49"/>
      <c r="BL31" s="1"/>
      <c r="BM31" s="1"/>
      <c r="BN31" s="1"/>
      <c r="BO31" s="1"/>
      <c r="BP31" s="1"/>
      <c r="BQ31" s="1"/>
      <c r="BR31" s="1"/>
    </row>
    <row r="32" spans="1:70" ht="31.5">
      <c r="A32" s="54" t="s">
        <v>154</v>
      </c>
      <c r="B32" s="104">
        <v>72887</v>
      </c>
      <c r="C32" s="45" t="s">
        <v>62</v>
      </c>
      <c r="D32" s="105" t="s">
        <v>19</v>
      </c>
      <c r="E32" s="98">
        <f>E31*20.1</f>
        <v>30.150000000000002</v>
      </c>
      <c r="F32" s="48">
        <f t="shared" si="2"/>
        <v>1.4</v>
      </c>
      <c r="G32" s="11">
        <f t="shared" si="3"/>
        <v>42.21</v>
      </c>
      <c r="H32" s="48">
        <f t="shared" si="4"/>
        <v>0.15</v>
      </c>
      <c r="I32" s="12">
        <f t="shared" si="5"/>
        <v>4.5225</v>
      </c>
      <c r="J32" s="13">
        <f t="shared" si="6"/>
        <v>46.7325</v>
      </c>
      <c r="K32" s="83">
        <f t="shared" si="7"/>
        <v>1.2999999999999998</v>
      </c>
      <c r="L32" s="83">
        <v>1.17</v>
      </c>
      <c r="M32" s="83">
        <v>0.13</v>
      </c>
      <c r="N32" s="53">
        <f t="shared" si="8"/>
        <v>1.5613</v>
      </c>
      <c r="O32" s="53">
        <f t="shared" si="9"/>
        <v>1.40517</v>
      </c>
      <c r="P32" s="53">
        <f t="shared" si="10"/>
        <v>0.15613000000000002</v>
      </c>
      <c r="Q32" s="82">
        <f t="shared" si="11"/>
        <v>1.56</v>
      </c>
      <c r="R32" s="82">
        <f t="shared" si="12"/>
        <v>1.4</v>
      </c>
      <c r="S32" s="82">
        <f t="shared" si="13"/>
        <v>0.15</v>
      </c>
      <c r="T32" s="101">
        <f t="shared" si="14"/>
        <v>1.5499999999999998</v>
      </c>
      <c r="U32" s="102">
        <f t="shared" si="15"/>
        <v>1.5</v>
      </c>
      <c r="V32" s="52">
        <f t="shared" si="16"/>
        <v>0.062452</v>
      </c>
      <c r="W32" s="82">
        <f t="shared" si="17"/>
        <v>0.06</v>
      </c>
      <c r="X32" s="53">
        <f t="shared" si="18"/>
        <v>-0.010000000000000231</v>
      </c>
      <c r="Y32" s="1"/>
      <c r="AK32" s="49"/>
      <c r="AL32" s="49"/>
      <c r="AM32" s="49"/>
      <c r="AN32" s="49"/>
      <c r="AO32" s="49"/>
      <c r="AP32" s="49"/>
      <c r="AQ32" s="49"/>
      <c r="BL32" s="1"/>
      <c r="BM32" s="1"/>
      <c r="BN32" s="1"/>
      <c r="BO32" s="1"/>
      <c r="BP32" s="1"/>
      <c r="BQ32" s="1"/>
      <c r="BR32" s="1"/>
    </row>
    <row r="33" spans="1:70" ht="15.75">
      <c r="A33" s="54" t="s">
        <v>155</v>
      </c>
      <c r="B33" s="104">
        <v>96401</v>
      </c>
      <c r="C33" s="45" t="s">
        <v>63</v>
      </c>
      <c r="D33" s="55" t="s">
        <v>15</v>
      </c>
      <c r="E33" s="12">
        <f>E26</f>
        <v>10</v>
      </c>
      <c r="F33" s="48">
        <f t="shared" si="2"/>
        <v>15.22</v>
      </c>
      <c r="G33" s="11">
        <f t="shared" si="3"/>
        <v>152.20000000000002</v>
      </c>
      <c r="H33" s="48">
        <f t="shared" si="4"/>
        <v>0.42</v>
      </c>
      <c r="I33" s="12">
        <f t="shared" si="5"/>
        <v>4.2</v>
      </c>
      <c r="J33" s="13">
        <f t="shared" si="6"/>
        <v>156.4</v>
      </c>
      <c r="K33" s="83">
        <f t="shared" si="7"/>
        <v>13.03</v>
      </c>
      <c r="L33" s="83">
        <v>12.68</v>
      </c>
      <c r="M33" s="83">
        <v>0.35</v>
      </c>
      <c r="N33" s="53">
        <f t="shared" si="8"/>
        <v>15.64903</v>
      </c>
      <c r="O33" s="53">
        <f t="shared" si="9"/>
        <v>15.22868</v>
      </c>
      <c r="P33" s="53">
        <f t="shared" si="10"/>
        <v>0.42035</v>
      </c>
      <c r="Q33" s="82">
        <f t="shared" si="11"/>
        <v>15.64</v>
      </c>
      <c r="R33" s="82">
        <f t="shared" si="12"/>
        <v>15.22</v>
      </c>
      <c r="S33" s="82">
        <f t="shared" si="13"/>
        <v>0.42</v>
      </c>
      <c r="T33" s="101">
        <f t="shared" si="14"/>
        <v>15.64</v>
      </c>
      <c r="U33" s="102">
        <f t="shared" si="15"/>
        <v>15.020000000000001</v>
      </c>
      <c r="V33" s="52">
        <f t="shared" si="16"/>
        <v>0.6259612</v>
      </c>
      <c r="W33" s="82">
        <f t="shared" si="17"/>
        <v>0.62</v>
      </c>
      <c r="X33" s="53">
        <f t="shared" si="18"/>
        <v>0</v>
      </c>
      <c r="Y33" s="1"/>
      <c r="AK33" s="49"/>
      <c r="AL33" s="49"/>
      <c r="AM33" s="49"/>
      <c r="AN33" s="49"/>
      <c r="AO33" s="49"/>
      <c r="AP33" s="49"/>
      <c r="AQ33" s="49"/>
      <c r="BL33" s="1"/>
      <c r="BM33" s="1"/>
      <c r="BN33" s="1"/>
      <c r="BO33" s="1"/>
      <c r="BP33" s="1"/>
      <c r="BQ33" s="1"/>
      <c r="BR33" s="1"/>
    </row>
    <row r="34" spans="1:70" ht="15.75">
      <c r="A34" s="54" t="s">
        <v>156</v>
      </c>
      <c r="B34" s="22" t="s">
        <v>64</v>
      </c>
      <c r="C34" s="45" t="s">
        <v>65</v>
      </c>
      <c r="D34" s="55" t="s">
        <v>17</v>
      </c>
      <c r="E34" s="12">
        <v>10</v>
      </c>
      <c r="F34" s="48">
        <f t="shared" si="2"/>
        <v>45.74</v>
      </c>
      <c r="G34" s="11">
        <f t="shared" si="3"/>
        <v>457.40000000000003</v>
      </c>
      <c r="H34" s="48">
        <f t="shared" si="4"/>
        <v>25.66</v>
      </c>
      <c r="I34" s="12">
        <f t="shared" si="5"/>
        <v>256.6</v>
      </c>
      <c r="J34" s="13">
        <f t="shared" si="6"/>
        <v>714</v>
      </c>
      <c r="K34" s="83">
        <f t="shared" si="7"/>
        <v>59.46000000000001</v>
      </c>
      <c r="L34" s="83">
        <v>38.09</v>
      </c>
      <c r="M34" s="83">
        <v>21.37</v>
      </c>
      <c r="N34" s="53">
        <f t="shared" si="8"/>
        <v>71.41146000000002</v>
      </c>
      <c r="O34" s="53">
        <f t="shared" si="9"/>
        <v>45.74609000000001</v>
      </c>
      <c r="P34" s="53">
        <f t="shared" si="10"/>
        <v>25.665370000000003</v>
      </c>
      <c r="Q34" s="82">
        <f t="shared" si="11"/>
        <v>71.41</v>
      </c>
      <c r="R34" s="82">
        <f t="shared" si="12"/>
        <v>45.74</v>
      </c>
      <c r="S34" s="82">
        <f t="shared" si="13"/>
        <v>25.66</v>
      </c>
      <c r="T34" s="101">
        <f t="shared" si="14"/>
        <v>71.4</v>
      </c>
      <c r="U34" s="102">
        <f t="shared" si="15"/>
        <v>68.56</v>
      </c>
      <c r="V34" s="52">
        <f t="shared" si="16"/>
        <v>2.8564584000000006</v>
      </c>
      <c r="W34" s="82">
        <f t="shared" si="17"/>
        <v>2.85</v>
      </c>
      <c r="X34" s="53">
        <f t="shared" si="18"/>
        <v>-0.009999999999990905</v>
      </c>
      <c r="Y34" s="1"/>
      <c r="AK34" s="49"/>
      <c r="AL34" s="49"/>
      <c r="AM34" s="49"/>
      <c r="AN34" s="49"/>
      <c r="AO34" s="49"/>
      <c r="AP34" s="49"/>
      <c r="AQ34" s="49"/>
      <c r="BL34" s="1"/>
      <c r="BM34" s="1"/>
      <c r="BN34" s="1"/>
      <c r="BO34" s="1"/>
      <c r="BP34" s="1"/>
      <c r="BQ34" s="1"/>
      <c r="BR34" s="1"/>
    </row>
    <row r="35" spans="1:70" ht="15.75">
      <c r="A35" s="54"/>
      <c r="B35" s="22"/>
      <c r="C35" s="14" t="s">
        <v>11</v>
      </c>
      <c r="D35" s="22"/>
      <c r="E35" s="12"/>
      <c r="F35" s="11"/>
      <c r="G35" s="16">
        <f>SUM(G26:G34)</f>
        <v>2103.6800000000003</v>
      </c>
      <c r="H35" s="16"/>
      <c r="I35" s="16">
        <f>SUM(I26:I34)</f>
        <v>363.21750000000003</v>
      </c>
      <c r="J35" s="16">
        <f>SUM(J26:J34)</f>
        <v>2466.8975</v>
      </c>
      <c r="L35" s="1"/>
      <c r="P35" s="35"/>
      <c r="Q35" s="1"/>
      <c r="S35" s="1"/>
      <c r="T35" s="1"/>
      <c r="W35" s="1"/>
      <c r="Y35" s="1"/>
      <c r="AK35" s="49"/>
      <c r="AL35" s="49"/>
      <c r="AM35" s="49"/>
      <c r="AN35" s="49"/>
      <c r="AO35" s="49"/>
      <c r="AP35" s="49"/>
      <c r="AQ35" s="49"/>
      <c r="BL35" s="1"/>
      <c r="BM35" s="1"/>
      <c r="BN35" s="1"/>
      <c r="BO35" s="1"/>
      <c r="BP35" s="1"/>
      <c r="BQ35" s="1"/>
      <c r="BR35" s="1"/>
    </row>
    <row r="36" spans="1:10" ht="8.25" customHeight="1">
      <c r="A36" s="54"/>
      <c r="B36" s="100"/>
      <c r="C36" s="14"/>
      <c r="D36" s="100"/>
      <c r="E36" s="12"/>
      <c r="F36" s="11"/>
      <c r="G36" s="16"/>
      <c r="H36" s="16"/>
      <c r="I36" s="15"/>
      <c r="J36" s="17"/>
    </row>
    <row r="37" spans="1:10" ht="18.75" customHeight="1">
      <c r="A37" s="6" t="s">
        <v>81</v>
      </c>
      <c r="B37" s="7"/>
      <c r="C37" s="8" t="s">
        <v>102</v>
      </c>
      <c r="D37" s="7"/>
      <c r="E37" s="19"/>
      <c r="F37" s="19"/>
      <c r="G37" s="108">
        <f>G19+G23+G35</f>
        <v>237859.725035</v>
      </c>
      <c r="H37" s="19"/>
      <c r="I37" s="108">
        <f>I19+I23+I35</f>
        <v>21250.607584499994</v>
      </c>
      <c r="J37" s="108">
        <f>J19+J23+J35</f>
        <v>259110.3326195</v>
      </c>
    </row>
    <row r="38" spans="1:25" ht="15.75">
      <c r="A38" s="23"/>
      <c r="B38" s="22"/>
      <c r="C38" s="14"/>
      <c r="D38" s="22"/>
      <c r="E38" s="12"/>
      <c r="F38" s="48"/>
      <c r="G38" s="63"/>
      <c r="H38" s="63"/>
      <c r="I38" s="63"/>
      <c r="J38" s="64"/>
      <c r="U38" s="47">
        <f>J40</f>
        <v>0</v>
      </c>
      <c r="V38" s="85"/>
      <c r="W38" s="89">
        <v>955.34</v>
      </c>
      <c r="X38" s="85"/>
      <c r="Y38" s="50"/>
    </row>
    <row r="39" spans="1:31" ht="20.25" customHeight="1">
      <c r="A39" s="6" t="s">
        <v>82</v>
      </c>
      <c r="B39" s="7"/>
      <c r="C39" s="8" t="s">
        <v>126</v>
      </c>
      <c r="D39" s="7"/>
      <c r="E39" s="7"/>
      <c r="F39" s="7"/>
      <c r="G39" s="7"/>
      <c r="H39" s="7"/>
      <c r="I39" s="7"/>
      <c r="J39" s="9"/>
      <c r="Y39" s="50"/>
      <c r="Z39" s="49"/>
      <c r="AA39" s="49"/>
      <c r="AB39" s="49"/>
      <c r="AC39" s="49"/>
      <c r="AD39" s="49"/>
      <c r="AE39" s="49"/>
    </row>
    <row r="40" spans="1:31" ht="15.75">
      <c r="A40" s="10" t="s">
        <v>83</v>
      </c>
      <c r="B40" s="59"/>
      <c r="C40" s="60" t="s">
        <v>128</v>
      </c>
      <c r="D40" s="61"/>
      <c r="E40" s="62"/>
      <c r="F40" s="48"/>
      <c r="G40" s="11"/>
      <c r="H40" s="48"/>
      <c r="I40" s="12"/>
      <c r="J40" s="13"/>
      <c r="K40" s="83">
        <f>L40+M40</f>
        <v>321.05999999999995</v>
      </c>
      <c r="L40" s="83">
        <v>274.59</v>
      </c>
      <c r="M40" s="83">
        <v>46.47</v>
      </c>
      <c r="N40" s="53">
        <f>K40*N$8</f>
        <v>385.59306</v>
      </c>
      <c r="O40" s="53">
        <f>L40*O$8</f>
        <v>329.78258999999997</v>
      </c>
      <c r="P40" s="53">
        <f>M40*P$8</f>
        <v>55.81047</v>
      </c>
      <c r="Q40" s="82">
        <f>ROUNDDOWN(N40,2)</f>
        <v>385.59</v>
      </c>
      <c r="R40" s="82">
        <f>ROUNDDOWN(O40,2)</f>
        <v>329.78</v>
      </c>
      <c r="S40" s="82">
        <f>ROUNDDOWN(P40,2)</f>
        <v>55.81</v>
      </c>
      <c r="T40" s="101">
        <f>R40+S40</f>
        <v>385.59</v>
      </c>
      <c r="U40" s="102">
        <f>Q40-W40</f>
        <v>370.16999999999996</v>
      </c>
      <c r="V40" s="52">
        <f>N40*0.04</f>
        <v>15.423722399999999</v>
      </c>
      <c r="W40" s="82">
        <f>ROUNDDOWN(V40,2)</f>
        <v>15.42</v>
      </c>
      <c r="X40" s="53">
        <f>F40+H40-Q40</f>
        <v>-385.59</v>
      </c>
      <c r="Y40" s="50"/>
      <c r="Z40" s="49"/>
      <c r="AA40" s="49"/>
      <c r="AB40" s="49"/>
      <c r="AC40" s="49"/>
      <c r="AD40" s="49"/>
      <c r="AE40" s="49"/>
    </row>
    <row r="41" spans="1:70" s="31" customFormat="1" ht="7.5" customHeight="1">
      <c r="A41" s="10"/>
      <c r="B41" s="14"/>
      <c r="C41" s="14"/>
      <c r="D41" s="14"/>
      <c r="E41" s="15"/>
      <c r="F41" s="16"/>
      <c r="G41" s="16"/>
      <c r="H41" s="16"/>
      <c r="I41" s="15"/>
      <c r="J41" s="17"/>
      <c r="K41" s="32"/>
      <c r="L41" s="32"/>
      <c r="M41" s="32"/>
      <c r="Q41" s="50"/>
      <c r="R41" s="50"/>
      <c r="S41" s="50"/>
      <c r="T41" s="50"/>
      <c r="U41" s="49"/>
      <c r="V41" s="1"/>
      <c r="W41" s="50"/>
      <c r="X41" s="1"/>
      <c r="Y41" s="96"/>
      <c r="Z41" s="97"/>
      <c r="AA41" s="97"/>
      <c r="AB41" s="97"/>
      <c r="AC41" s="97"/>
      <c r="AD41" s="97"/>
      <c r="AE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</row>
    <row r="42" spans="1:31" ht="20.25" customHeight="1">
      <c r="A42" s="6" t="s">
        <v>84</v>
      </c>
      <c r="B42" s="7"/>
      <c r="C42" s="18" t="s">
        <v>30</v>
      </c>
      <c r="D42" s="7"/>
      <c r="E42" s="19"/>
      <c r="F42" s="19"/>
      <c r="G42" s="19"/>
      <c r="H42" s="19"/>
      <c r="I42" s="19"/>
      <c r="J42" s="20"/>
      <c r="N42" s="49"/>
      <c r="O42" s="49"/>
      <c r="P42" s="49"/>
      <c r="Q42" s="50"/>
      <c r="R42" s="50"/>
      <c r="S42" s="50"/>
      <c r="T42" s="50"/>
      <c r="U42" s="49"/>
      <c r="V42" s="49"/>
      <c r="W42" s="50"/>
      <c r="X42" s="47"/>
      <c r="Y42" s="50"/>
      <c r="Z42" s="49"/>
      <c r="AA42" s="49"/>
      <c r="AB42" s="49"/>
      <c r="AC42" s="49"/>
      <c r="AD42" s="49"/>
      <c r="AE42" s="49"/>
    </row>
    <row r="43" spans="1:31" ht="31.5">
      <c r="A43" s="54" t="s">
        <v>85</v>
      </c>
      <c r="B43" s="44" t="s">
        <v>13</v>
      </c>
      <c r="C43" s="57" t="s">
        <v>14</v>
      </c>
      <c r="D43" s="44" t="s">
        <v>15</v>
      </c>
      <c r="E43" s="46">
        <v>1140.27</v>
      </c>
      <c r="F43" s="48">
        <f>R43</f>
        <v>0.73</v>
      </c>
      <c r="G43" s="11">
        <f>E43*F43</f>
        <v>832.3971</v>
      </c>
      <c r="H43" s="48">
        <f>S43</f>
        <v>1.9</v>
      </c>
      <c r="I43" s="12">
        <f>E43*H43</f>
        <v>2166.513</v>
      </c>
      <c r="J43" s="13">
        <f>G43+I43</f>
        <v>2998.9101</v>
      </c>
      <c r="K43" s="83">
        <f aca="true" t="shared" si="19" ref="K43:M47">K14</f>
        <v>2.2</v>
      </c>
      <c r="L43" s="83">
        <f t="shared" si="19"/>
        <v>0.61</v>
      </c>
      <c r="M43" s="83">
        <f t="shared" si="19"/>
        <v>1.59</v>
      </c>
      <c r="N43" s="53">
        <f aca="true" t="shared" si="20" ref="N43:P47">K43*N$8</f>
        <v>2.6422000000000003</v>
      </c>
      <c r="O43" s="53">
        <f t="shared" si="20"/>
        <v>0.73261</v>
      </c>
      <c r="P43" s="53">
        <f t="shared" si="20"/>
        <v>1.9095900000000001</v>
      </c>
      <c r="Q43" s="82">
        <f aca="true" t="shared" si="21" ref="Q43:S47">ROUNDDOWN(N43,2)</f>
        <v>2.64</v>
      </c>
      <c r="R43" s="82">
        <f t="shared" si="21"/>
        <v>0.73</v>
      </c>
      <c r="S43" s="82">
        <f t="shared" si="21"/>
        <v>1.9</v>
      </c>
      <c r="T43" s="101">
        <f>R43+S43</f>
        <v>2.63</v>
      </c>
      <c r="U43" s="102">
        <f>Q43-W43</f>
        <v>2.54</v>
      </c>
      <c r="V43" s="52">
        <f>N43*0.04</f>
        <v>0.10568800000000002</v>
      </c>
      <c r="W43" s="82">
        <f>ROUNDDOWN(V43,2)</f>
        <v>0.1</v>
      </c>
      <c r="X43" s="53">
        <f>F43+H43-Q43</f>
        <v>-0.010000000000000231</v>
      </c>
      <c r="Y43" s="50"/>
      <c r="Z43" s="49"/>
      <c r="AA43" s="49"/>
      <c r="AB43" s="49"/>
      <c r="AC43" s="49"/>
      <c r="AD43" s="49"/>
      <c r="AE43" s="49"/>
    </row>
    <row r="44" spans="1:31" ht="15.75">
      <c r="A44" s="54" t="s">
        <v>86</v>
      </c>
      <c r="B44" s="44">
        <v>72942</v>
      </c>
      <c r="C44" s="57" t="s">
        <v>34</v>
      </c>
      <c r="D44" s="44" t="s">
        <v>15</v>
      </c>
      <c r="E44" s="46">
        <v>1140.27</v>
      </c>
      <c r="F44" s="48">
        <f>R44</f>
        <v>2.55</v>
      </c>
      <c r="G44" s="11">
        <f>E44*F44</f>
        <v>2907.6884999999997</v>
      </c>
      <c r="H44" s="48">
        <f>S44</f>
        <v>0.31</v>
      </c>
      <c r="I44" s="12">
        <f>E44*H44</f>
        <v>353.4837</v>
      </c>
      <c r="J44" s="13">
        <f>G44+I44</f>
        <v>3261.1722</v>
      </c>
      <c r="K44" s="83">
        <f t="shared" si="19"/>
        <v>2.3899999999999997</v>
      </c>
      <c r="L44" s="83">
        <f t="shared" si="19"/>
        <v>2.13</v>
      </c>
      <c r="M44" s="83">
        <f t="shared" si="19"/>
        <v>0.26</v>
      </c>
      <c r="N44" s="53">
        <f t="shared" si="20"/>
        <v>2.87039</v>
      </c>
      <c r="O44" s="53">
        <f t="shared" si="20"/>
        <v>2.5581300000000002</v>
      </c>
      <c r="P44" s="53">
        <f t="shared" si="20"/>
        <v>0.31226000000000004</v>
      </c>
      <c r="Q44" s="82">
        <f t="shared" si="21"/>
        <v>2.87</v>
      </c>
      <c r="R44" s="82">
        <f t="shared" si="21"/>
        <v>2.55</v>
      </c>
      <c r="S44" s="82">
        <f t="shared" si="21"/>
        <v>0.31</v>
      </c>
      <c r="T44" s="101">
        <f>R44+S44</f>
        <v>2.86</v>
      </c>
      <c r="U44" s="102">
        <f>Q44-W44</f>
        <v>2.7600000000000002</v>
      </c>
      <c r="V44" s="52">
        <f>N44*0.04</f>
        <v>0.1148156</v>
      </c>
      <c r="W44" s="82">
        <f>ROUNDDOWN(V44,2)</f>
        <v>0.11</v>
      </c>
      <c r="X44" s="53"/>
      <c r="Y44" s="50"/>
      <c r="Z44" s="49"/>
      <c r="AA44" s="49"/>
      <c r="AB44" s="49"/>
      <c r="AC44" s="49"/>
      <c r="AD44" s="49"/>
      <c r="AE44" s="49"/>
    </row>
    <row r="45" spans="1:31" ht="31.5">
      <c r="A45" s="54" t="s">
        <v>87</v>
      </c>
      <c r="B45" s="58">
        <v>95303</v>
      </c>
      <c r="C45" s="45" t="s">
        <v>47</v>
      </c>
      <c r="D45" s="44" t="s">
        <v>19</v>
      </c>
      <c r="E45" s="46">
        <f>E47*20.1</f>
        <v>1145.97135</v>
      </c>
      <c r="F45" s="48">
        <f>R45</f>
        <v>1.62</v>
      </c>
      <c r="G45" s="11">
        <f>E45*F45</f>
        <v>1856.4735870000002</v>
      </c>
      <c r="H45" s="48">
        <f>S45</f>
        <v>0.15</v>
      </c>
      <c r="I45" s="12">
        <f>E45*H45</f>
        <v>171.8957025</v>
      </c>
      <c r="J45" s="13">
        <f>G45+I45</f>
        <v>2028.3692895000001</v>
      </c>
      <c r="K45" s="83">
        <f t="shared" si="19"/>
        <v>1.48</v>
      </c>
      <c r="L45" s="83">
        <f t="shared" si="19"/>
        <v>1.35</v>
      </c>
      <c r="M45" s="83">
        <f t="shared" si="19"/>
        <v>0.13</v>
      </c>
      <c r="N45" s="53">
        <f t="shared" si="20"/>
        <v>1.7774800000000002</v>
      </c>
      <c r="O45" s="53">
        <f t="shared" si="20"/>
        <v>1.6213500000000003</v>
      </c>
      <c r="P45" s="53">
        <f t="shared" si="20"/>
        <v>0.15613000000000002</v>
      </c>
      <c r="Q45" s="82">
        <f t="shared" si="21"/>
        <v>1.77</v>
      </c>
      <c r="R45" s="82">
        <f t="shared" si="21"/>
        <v>1.62</v>
      </c>
      <c r="S45" s="82">
        <f t="shared" si="21"/>
        <v>0.15</v>
      </c>
      <c r="T45" s="101">
        <f>R45+S45</f>
        <v>1.77</v>
      </c>
      <c r="U45" s="102">
        <f>Q45-W45</f>
        <v>1.7</v>
      </c>
      <c r="V45" s="52">
        <f>N45*0.04</f>
        <v>0.07109920000000002</v>
      </c>
      <c r="W45" s="82">
        <f>ROUNDDOWN(V45,2)</f>
        <v>0.07</v>
      </c>
      <c r="X45" s="53"/>
      <c r="Y45" s="50"/>
      <c r="Z45" s="49"/>
      <c r="AA45" s="49"/>
      <c r="AB45" s="49"/>
      <c r="AC45" s="49"/>
      <c r="AD45" s="49"/>
      <c r="AE45" s="49"/>
    </row>
    <row r="46" spans="1:31" ht="31.5">
      <c r="A46" s="54" t="s">
        <v>88</v>
      </c>
      <c r="B46" s="58">
        <v>72846</v>
      </c>
      <c r="C46" s="45" t="s">
        <v>1</v>
      </c>
      <c r="D46" s="44" t="s">
        <v>31</v>
      </c>
      <c r="E46" s="46">
        <f>E47*2.4</f>
        <v>136.8324</v>
      </c>
      <c r="F46" s="48">
        <f>R46</f>
        <v>4.67</v>
      </c>
      <c r="G46" s="11">
        <f>E46*F46</f>
        <v>639.007308</v>
      </c>
      <c r="H46" s="48">
        <f>S46</f>
        <v>0.64</v>
      </c>
      <c r="I46" s="12">
        <f>E46*H46</f>
        <v>87.572736</v>
      </c>
      <c r="J46" s="13">
        <f>G46+I46</f>
        <v>726.5800439999999</v>
      </c>
      <c r="K46" s="83">
        <f t="shared" si="19"/>
        <v>4.43</v>
      </c>
      <c r="L46" s="83">
        <f t="shared" si="19"/>
        <v>3.89</v>
      </c>
      <c r="M46" s="83">
        <f t="shared" si="19"/>
        <v>0.54</v>
      </c>
      <c r="N46" s="53">
        <f t="shared" si="20"/>
        <v>5.32043</v>
      </c>
      <c r="O46" s="53">
        <f t="shared" si="20"/>
        <v>4.67189</v>
      </c>
      <c r="P46" s="53">
        <f t="shared" si="20"/>
        <v>0.6485400000000001</v>
      </c>
      <c r="Q46" s="82">
        <f t="shared" si="21"/>
        <v>5.32</v>
      </c>
      <c r="R46" s="82">
        <f t="shared" si="21"/>
        <v>4.67</v>
      </c>
      <c r="S46" s="82">
        <f t="shared" si="21"/>
        <v>0.64</v>
      </c>
      <c r="T46" s="101">
        <f>R46+S46</f>
        <v>5.31</v>
      </c>
      <c r="U46" s="102">
        <f>Q46-W46</f>
        <v>5.11</v>
      </c>
      <c r="V46" s="52">
        <f>N46*0.04</f>
        <v>0.2128172</v>
      </c>
      <c r="W46" s="82">
        <f>ROUNDDOWN(V46,2)</f>
        <v>0.21</v>
      </c>
      <c r="X46" s="53"/>
      <c r="Y46" s="50"/>
      <c r="Z46" s="49"/>
      <c r="AA46" s="49"/>
      <c r="AB46" s="49"/>
      <c r="AC46" s="49"/>
      <c r="AD46" s="49"/>
      <c r="AE46" s="49"/>
    </row>
    <row r="47" spans="1:31" ht="31.5">
      <c r="A47" s="54" t="s">
        <v>89</v>
      </c>
      <c r="B47" s="58">
        <v>95995</v>
      </c>
      <c r="C47" s="45" t="s">
        <v>70</v>
      </c>
      <c r="D47" s="44" t="s">
        <v>10</v>
      </c>
      <c r="E47" s="46">
        <f>E44*0.05</f>
        <v>57.0135</v>
      </c>
      <c r="F47" s="48">
        <f>R47</f>
        <v>1052.26</v>
      </c>
      <c r="G47" s="11">
        <f>E47*F47</f>
        <v>59993.02551</v>
      </c>
      <c r="H47" s="48">
        <f>S47</f>
        <v>54.47</v>
      </c>
      <c r="I47" s="12">
        <f>E47*H47</f>
        <v>3105.525345</v>
      </c>
      <c r="J47" s="13">
        <f>G47+I47</f>
        <v>63098.550855</v>
      </c>
      <c r="K47" s="84">
        <f t="shared" si="19"/>
        <v>921.52</v>
      </c>
      <c r="L47" s="84">
        <f t="shared" si="19"/>
        <v>876.16</v>
      </c>
      <c r="M47" s="84">
        <f t="shared" si="19"/>
        <v>45.36</v>
      </c>
      <c r="N47" s="53">
        <f t="shared" si="20"/>
        <v>1106.74552</v>
      </c>
      <c r="O47" s="53">
        <f t="shared" si="20"/>
        <v>1052.26816</v>
      </c>
      <c r="P47" s="53">
        <f t="shared" si="20"/>
        <v>54.477360000000004</v>
      </c>
      <c r="Q47" s="82">
        <f t="shared" si="21"/>
        <v>1106.74</v>
      </c>
      <c r="R47" s="82">
        <f t="shared" si="21"/>
        <v>1052.26</v>
      </c>
      <c r="S47" s="82">
        <f t="shared" si="21"/>
        <v>54.47</v>
      </c>
      <c r="T47" s="101">
        <f>R47+S47</f>
        <v>1106.73</v>
      </c>
      <c r="U47" s="102">
        <f>Q47-W47</f>
        <v>1062.48</v>
      </c>
      <c r="V47" s="52">
        <f>N47*0.04</f>
        <v>44.2698208</v>
      </c>
      <c r="W47" s="82">
        <f>ROUNDDOWN(V47,2)</f>
        <v>44.26</v>
      </c>
      <c r="X47" s="53"/>
      <c r="Y47" s="50"/>
      <c r="Z47" s="49"/>
      <c r="AA47" s="49"/>
      <c r="AB47" s="49"/>
      <c r="AC47" s="49"/>
      <c r="AD47" s="49"/>
      <c r="AE47" s="49"/>
    </row>
    <row r="48" spans="1:70" s="31" customFormat="1" ht="15.75">
      <c r="A48" s="54"/>
      <c r="B48" s="14"/>
      <c r="C48" s="14" t="s">
        <v>11</v>
      </c>
      <c r="D48" s="14"/>
      <c r="E48" s="15"/>
      <c r="F48" s="16"/>
      <c r="G48" s="16">
        <f>SUM(G43:G47)</f>
        <v>66228.592005</v>
      </c>
      <c r="H48" s="16"/>
      <c r="I48" s="16">
        <f>SUM(I43:I47)</f>
        <v>5884.9904835</v>
      </c>
      <c r="J48" s="16">
        <f>SUM(J43:J47)</f>
        <v>72113.5824885</v>
      </c>
      <c r="K48" s="32"/>
      <c r="L48" s="32"/>
      <c r="M48" s="32"/>
      <c r="Q48" s="50"/>
      <c r="R48" s="50"/>
      <c r="S48" s="50"/>
      <c r="T48" s="50"/>
      <c r="U48" s="49"/>
      <c r="V48" s="1"/>
      <c r="W48" s="50"/>
      <c r="X48" s="1"/>
      <c r="Y48" s="96"/>
      <c r="Z48" s="97"/>
      <c r="AA48" s="97"/>
      <c r="AB48" s="97"/>
      <c r="AC48" s="97"/>
      <c r="AD48" s="97"/>
      <c r="AE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</row>
    <row r="49" spans="1:70" s="31" customFormat="1" ht="8.25" customHeight="1">
      <c r="A49" s="54"/>
      <c r="B49" s="14"/>
      <c r="C49" s="14"/>
      <c r="D49" s="14"/>
      <c r="E49" s="15"/>
      <c r="F49" s="16"/>
      <c r="G49" s="16"/>
      <c r="H49" s="16"/>
      <c r="I49" s="15"/>
      <c r="J49" s="17"/>
      <c r="K49" s="32"/>
      <c r="L49" s="32"/>
      <c r="M49" s="32"/>
      <c r="Q49" s="50"/>
      <c r="R49" s="50"/>
      <c r="S49" s="50"/>
      <c r="T49" s="50"/>
      <c r="U49" s="49"/>
      <c r="V49" s="1"/>
      <c r="W49" s="50"/>
      <c r="X49" s="1"/>
      <c r="Y49" s="96"/>
      <c r="Z49" s="97"/>
      <c r="AA49" s="97"/>
      <c r="AB49" s="97"/>
      <c r="AC49" s="97"/>
      <c r="AD49" s="97"/>
      <c r="AE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</row>
    <row r="50" spans="1:31" ht="18" customHeight="1">
      <c r="A50" s="6" t="s">
        <v>90</v>
      </c>
      <c r="B50" s="7"/>
      <c r="C50" s="8" t="s">
        <v>26</v>
      </c>
      <c r="D50" s="7"/>
      <c r="E50" s="19"/>
      <c r="F50" s="19"/>
      <c r="G50" s="19"/>
      <c r="H50" s="19"/>
      <c r="I50" s="19"/>
      <c r="J50" s="20"/>
      <c r="Q50" s="50"/>
      <c r="R50" s="50"/>
      <c r="S50" s="50"/>
      <c r="T50" s="50"/>
      <c r="U50" s="49"/>
      <c r="W50" s="50"/>
      <c r="Y50" s="50"/>
      <c r="Z50" s="49"/>
      <c r="AA50" s="49"/>
      <c r="AB50" s="49"/>
      <c r="AC50" s="49"/>
      <c r="AD50" s="49"/>
      <c r="AE50" s="49"/>
    </row>
    <row r="51" spans="1:31" ht="31.5">
      <c r="A51" s="54" t="s">
        <v>91</v>
      </c>
      <c r="B51" s="55">
        <v>72947</v>
      </c>
      <c r="C51" s="56" t="s">
        <v>50</v>
      </c>
      <c r="D51" s="44" t="s">
        <v>15</v>
      </c>
      <c r="E51" s="46">
        <v>18.72</v>
      </c>
      <c r="F51" s="48">
        <f>R51</f>
        <v>19.5</v>
      </c>
      <c r="G51" s="11">
        <f>E51*F51</f>
        <v>365.03999999999996</v>
      </c>
      <c r="H51" s="48">
        <f>S51</f>
        <v>0.84</v>
      </c>
      <c r="I51" s="12">
        <f>E51*H51</f>
        <v>15.724799999999998</v>
      </c>
      <c r="J51" s="13">
        <f>G51+I51</f>
        <v>380.7648</v>
      </c>
      <c r="K51" s="83">
        <f>K22</f>
        <v>16.939999999999998</v>
      </c>
      <c r="L51" s="83">
        <f>L22</f>
        <v>16.24</v>
      </c>
      <c r="M51" s="83">
        <f>M22</f>
        <v>0.7</v>
      </c>
      <c r="N51" s="53">
        <f>K51*N$8</f>
        <v>20.344939999999998</v>
      </c>
      <c r="O51" s="53">
        <f>L51*O$8</f>
        <v>19.50424</v>
      </c>
      <c r="P51" s="53">
        <f>M51*P$8</f>
        <v>0.8407</v>
      </c>
      <c r="Q51" s="82">
        <f>ROUNDDOWN(N51,2)</f>
        <v>20.34</v>
      </c>
      <c r="R51" s="82">
        <f>ROUNDDOWN(O51,2)</f>
        <v>19.5</v>
      </c>
      <c r="S51" s="82">
        <f>ROUNDDOWN(P51,2)</f>
        <v>0.84</v>
      </c>
      <c r="T51" s="101">
        <f>R51+S51</f>
        <v>20.34</v>
      </c>
      <c r="U51" s="102">
        <f>Q51-W51</f>
        <v>19.53</v>
      </c>
      <c r="V51" s="52">
        <f>N51*0.04</f>
        <v>0.8137975999999999</v>
      </c>
      <c r="W51" s="82">
        <f>ROUNDDOWN(V51,2)</f>
        <v>0.81</v>
      </c>
      <c r="X51" s="53">
        <f>F51+H51-Q51</f>
        <v>0</v>
      </c>
      <c r="Y51" s="50"/>
      <c r="Z51" s="49"/>
      <c r="AA51" s="49"/>
      <c r="AB51" s="49"/>
      <c r="AC51" s="49"/>
      <c r="AD51" s="49"/>
      <c r="AE51" s="49"/>
    </row>
    <row r="52" spans="1:70" s="31" customFormat="1" ht="15.75">
      <c r="A52" s="54"/>
      <c r="B52" s="14"/>
      <c r="C52" s="14" t="s">
        <v>11</v>
      </c>
      <c r="D52" s="14"/>
      <c r="E52" s="15"/>
      <c r="F52" s="16"/>
      <c r="G52" s="16">
        <f>SUM(G51:G51)</f>
        <v>365.03999999999996</v>
      </c>
      <c r="H52" s="16"/>
      <c r="I52" s="15">
        <f>SUM(I51:I51)</f>
        <v>15.724799999999998</v>
      </c>
      <c r="J52" s="21">
        <f>SUM(J51:J51)</f>
        <v>380.7648</v>
      </c>
      <c r="K52" s="32"/>
      <c r="L52" s="32"/>
      <c r="M52" s="32"/>
      <c r="Q52" s="50"/>
      <c r="R52" s="50"/>
      <c r="S52" s="50"/>
      <c r="T52" s="50"/>
      <c r="U52" s="49"/>
      <c r="V52" s="1"/>
      <c r="W52" s="50"/>
      <c r="X52" s="1"/>
      <c r="Y52" s="96"/>
      <c r="Z52" s="97"/>
      <c r="AA52" s="97"/>
      <c r="AB52" s="97"/>
      <c r="AC52" s="97"/>
      <c r="AD52" s="97"/>
      <c r="AE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</row>
    <row r="53" spans="1:70" s="31" customFormat="1" ht="9" customHeight="1">
      <c r="A53" s="54"/>
      <c r="B53" s="14"/>
      <c r="C53" s="14"/>
      <c r="D53" s="14"/>
      <c r="E53" s="15"/>
      <c r="F53" s="16"/>
      <c r="G53" s="16"/>
      <c r="H53" s="16"/>
      <c r="I53" s="15"/>
      <c r="J53" s="21"/>
      <c r="K53" s="32"/>
      <c r="L53" s="32"/>
      <c r="M53" s="32"/>
      <c r="Q53" s="50"/>
      <c r="R53" s="50"/>
      <c r="S53" s="50"/>
      <c r="T53" s="50"/>
      <c r="U53" s="49"/>
      <c r="V53" s="1"/>
      <c r="W53" s="50"/>
      <c r="X53" s="1"/>
      <c r="Y53" s="96"/>
      <c r="Z53" s="97"/>
      <c r="AA53" s="97"/>
      <c r="AB53" s="97"/>
      <c r="AC53" s="97"/>
      <c r="AD53" s="97"/>
      <c r="AE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</row>
    <row r="54" spans="1:10" ht="18.75" customHeight="1">
      <c r="A54" s="6" t="s">
        <v>146</v>
      </c>
      <c r="B54" s="7"/>
      <c r="C54" s="8" t="s">
        <v>102</v>
      </c>
      <c r="D54" s="7"/>
      <c r="E54" s="19"/>
      <c r="F54" s="19"/>
      <c r="G54" s="108">
        <f>G48+G52</f>
        <v>66593.63200499999</v>
      </c>
      <c r="H54" s="19"/>
      <c r="I54" s="108">
        <f>I48+I52</f>
        <v>5900.7152835</v>
      </c>
      <c r="J54" s="108">
        <f>J48+J52</f>
        <v>72494.34728850001</v>
      </c>
    </row>
    <row r="55" spans="1:25" ht="15.75">
      <c r="A55" s="23"/>
      <c r="B55" s="22"/>
      <c r="C55" s="14"/>
      <c r="D55" s="22"/>
      <c r="E55" s="12"/>
      <c r="F55" s="48"/>
      <c r="G55" s="63"/>
      <c r="H55" s="63"/>
      <c r="I55" s="63"/>
      <c r="J55" s="64"/>
      <c r="U55" s="47">
        <f>J57</f>
        <v>0</v>
      </c>
      <c r="V55" s="85"/>
      <c r="W55" s="89">
        <v>955.34</v>
      </c>
      <c r="X55" s="85"/>
      <c r="Y55" s="50"/>
    </row>
    <row r="56" spans="1:31" ht="20.25" customHeight="1">
      <c r="A56" s="6" t="s">
        <v>92</v>
      </c>
      <c r="B56" s="7"/>
      <c r="C56" s="8" t="s">
        <v>126</v>
      </c>
      <c r="D56" s="7"/>
      <c r="E56" s="7"/>
      <c r="F56" s="7"/>
      <c r="G56" s="7"/>
      <c r="H56" s="7"/>
      <c r="I56" s="7"/>
      <c r="J56" s="9"/>
      <c r="Y56" s="50"/>
      <c r="Z56" s="49"/>
      <c r="AA56" s="49"/>
      <c r="AB56" s="49"/>
      <c r="AC56" s="49"/>
      <c r="AD56" s="49"/>
      <c r="AE56" s="49"/>
    </row>
    <row r="57" spans="1:31" ht="15.75">
      <c r="A57" s="10" t="s">
        <v>93</v>
      </c>
      <c r="B57" s="59"/>
      <c r="C57" s="60" t="s">
        <v>129</v>
      </c>
      <c r="D57" s="61"/>
      <c r="E57" s="62"/>
      <c r="F57" s="48"/>
      <c r="G57" s="11"/>
      <c r="H57" s="48"/>
      <c r="I57" s="12"/>
      <c r="J57" s="13"/>
      <c r="K57" s="83">
        <f>L57+M57</f>
        <v>321.05999999999995</v>
      </c>
      <c r="L57" s="83">
        <v>274.59</v>
      </c>
      <c r="M57" s="83">
        <v>46.47</v>
      </c>
      <c r="N57" s="53">
        <f>K57*N$8</f>
        <v>385.59306</v>
      </c>
      <c r="O57" s="53">
        <f>L57*O$8</f>
        <v>329.78258999999997</v>
      </c>
      <c r="P57" s="53">
        <f>M57*P$8</f>
        <v>55.81047</v>
      </c>
      <c r="Q57" s="82">
        <f>ROUNDDOWN(N57,2)</f>
        <v>385.59</v>
      </c>
      <c r="R57" s="82">
        <f>ROUNDDOWN(O57,2)</f>
        <v>329.78</v>
      </c>
      <c r="S57" s="82">
        <f>ROUNDDOWN(P57,2)</f>
        <v>55.81</v>
      </c>
      <c r="T57" s="101">
        <f>R57+S57</f>
        <v>385.59</v>
      </c>
      <c r="U57" s="102">
        <f>Q57-W57</f>
        <v>370.16999999999996</v>
      </c>
      <c r="V57" s="52">
        <f>N57*0.04</f>
        <v>15.423722399999999</v>
      </c>
      <c r="W57" s="82">
        <f>ROUNDDOWN(V57,2)</f>
        <v>15.42</v>
      </c>
      <c r="X57" s="53">
        <f>F57+H57-Q57</f>
        <v>-385.59</v>
      </c>
      <c r="Y57" s="50"/>
      <c r="Z57" s="49"/>
      <c r="AA57" s="49"/>
      <c r="AB57" s="49"/>
      <c r="AC57" s="49"/>
      <c r="AD57" s="49"/>
      <c r="AE57" s="49"/>
    </row>
    <row r="58" spans="1:70" s="31" customFormat="1" ht="7.5" customHeight="1">
      <c r="A58" s="10"/>
      <c r="B58" s="14"/>
      <c r="C58" s="14"/>
      <c r="D58" s="14"/>
      <c r="E58" s="15"/>
      <c r="F58" s="16"/>
      <c r="G58" s="16"/>
      <c r="H58" s="16"/>
      <c r="I58" s="15"/>
      <c r="J58" s="17"/>
      <c r="K58" s="32"/>
      <c r="L58" s="32"/>
      <c r="M58" s="32"/>
      <c r="Q58" s="50"/>
      <c r="R58" s="50"/>
      <c r="S58" s="50"/>
      <c r="T58" s="50"/>
      <c r="U58" s="49"/>
      <c r="V58" s="1"/>
      <c r="W58" s="50"/>
      <c r="X58" s="1"/>
      <c r="Y58" s="96"/>
      <c r="Z58" s="97"/>
      <c r="AA58" s="97"/>
      <c r="AB58" s="97"/>
      <c r="AC58" s="97"/>
      <c r="AD58" s="97"/>
      <c r="AE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</row>
    <row r="59" spans="1:31" ht="20.25" customHeight="1">
      <c r="A59" s="6" t="s">
        <v>94</v>
      </c>
      <c r="B59" s="7"/>
      <c r="C59" s="18" t="s">
        <v>30</v>
      </c>
      <c r="D59" s="7"/>
      <c r="E59" s="19"/>
      <c r="F59" s="19"/>
      <c r="G59" s="19"/>
      <c r="H59" s="19"/>
      <c r="I59" s="19"/>
      <c r="J59" s="20"/>
      <c r="N59" s="49"/>
      <c r="O59" s="49"/>
      <c r="P59" s="49"/>
      <c r="Q59" s="50"/>
      <c r="R59" s="50"/>
      <c r="S59" s="50"/>
      <c r="T59" s="50"/>
      <c r="U59" s="49"/>
      <c r="V59" s="49"/>
      <c r="W59" s="50"/>
      <c r="X59" s="47"/>
      <c r="Y59" s="50"/>
      <c r="Z59" s="49"/>
      <c r="AA59" s="49"/>
      <c r="AB59" s="49"/>
      <c r="AC59" s="49"/>
      <c r="AD59" s="49"/>
      <c r="AE59" s="49"/>
    </row>
    <row r="60" spans="1:31" ht="31.5">
      <c r="A60" s="54" t="s">
        <v>95</v>
      </c>
      <c r="B60" s="44" t="s">
        <v>13</v>
      </c>
      <c r="C60" s="57" t="s">
        <v>14</v>
      </c>
      <c r="D60" s="44" t="s">
        <v>15</v>
      </c>
      <c r="E60" s="46">
        <v>3905.03</v>
      </c>
      <c r="F60" s="48">
        <f>R60</f>
        <v>0.73</v>
      </c>
      <c r="G60" s="11">
        <f>E60*F60</f>
        <v>2850.6719000000003</v>
      </c>
      <c r="H60" s="48">
        <f>S60</f>
        <v>1.9</v>
      </c>
      <c r="I60" s="12">
        <f>E60*H60</f>
        <v>7419.557</v>
      </c>
      <c r="J60" s="13">
        <f>G60+I60</f>
        <v>10270.2289</v>
      </c>
      <c r="K60" s="83">
        <f aca="true" t="shared" si="22" ref="K60:M64">K14</f>
        <v>2.2</v>
      </c>
      <c r="L60" s="83">
        <f t="shared" si="22"/>
        <v>0.61</v>
      </c>
      <c r="M60" s="83">
        <f t="shared" si="22"/>
        <v>1.59</v>
      </c>
      <c r="N60" s="53">
        <f aca="true" t="shared" si="23" ref="N60:P64">K60*N$8</f>
        <v>2.6422000000000003</v>
      </c>
      <c r="O60" s="53">
        <f t="shared" si="23"/>
        <v>0.73261</v>
      </c>
      <c r="P60" s="53">
        <f t="shared" si="23"/>
        <v>1.9095900000000001</v>
      </c>
      <c r="Q60" s="82">
        <f aca="true" t="shared" si="24" ref="Q60:S64">ROUNDDOWN(N60,2)</f>
        <v>2.64</v>
      </c>
      <c r="R60" s="82">
        <f t="shared" si="24"/>
        <v>0.73</v>
      </c>
      <c r="S60" s="82">
        <f t="shared" si="24"/>
        <v>1.9</v>
      </c>
      <c r="T60" s="101">
        <f>R60+S60</f>
        <v>2.63</v>
      </c>
      <c r="U60" s="102">
        <f>Q60-W60</f>
        <v>2.54</v>
      </c>
      <c r="V60" s="52">
        <f>N60*0.04</f>
        <v>0.10568800000000002</v>
      </c>
      <c r="W60" s="82">
        <f>ROUNDDOWN(V60,2)</f>
        <v>0.1</v>
      </c>
      <c r="X60" s="53">
        <f>F60+H60-Q60</f>
        <v>-0.010000000000000231</v>
      </c>
      <c r="Y60" s="50"/>
      <c r="Z60" s="49"/>
      <c r="AA60" s="49"/>
      <c r="AB60" s="49"/>
      <c r="AC60" s="49"/>
      <c r="AD60" s="49"/>
      <c r="AE60" s="49"/>
    </row>
    <row r="61" spans="1:31" ht="15.75">
      <c r="A61" s="54" t="s">
        <v>96</v>
      </c>
      <c r="B61" s="44">
        <v>72942</v>
      </c>
      <c r="C61" s="57" t="s">
        <v>34</v>
      </c>
      <c r="D61" s="44" t="s">
        <v>15</v>
      </c>
      <c r="E61" s="46">
        <v>3905.03</v>
      </c>
      <c r="F61" s="48">
        <f>R61</f>
        <v>2.55</v>
      </c>
      <c r="G61" s="11">
        <f>E61*F61</f>
        <v>9957.8265</v>
      </c>
      <c r="H61" s="48">
        <f>S61</f>
        <v>0.31</v>
      </c>
      <c r="I61" s="12">
        <f>E61*H61</f>
        <v>1210.5593000000001</v>
      </c>
      <c r="J61" s="13">
        <f>G61+I61</f>
        <v>11168.3858</v>
      </c>
      <c r="K61" s="83">
        <f t="shared" si="22"/>
        <v>2.3899999999999997</v>
      </c>
      <c r="L61" s="83">
        <f t="shared" si="22"/>
        <v>2.13</v>
      </c>
      <c r="M61" s="83">
        <f t="shared" si="22"/>
        <v>0.26</v>
      </c>
      <c r="N61" s="53">
        <f t="shared" si="23"/>
        <v>2.87039</v>
      </c>
      <c r="O61" s="53">
        <f t="shared" si="23"/>
        <v>2.5581300000000002</v>
      </c>
      <c r="P61" s="53">
        <f t="shared" si="23"/>
        <v>0.31226000000000004</v>
      </c>
      <c r="Q61" s="82">
        <f t="shared" si="24"/>
        <v>2.87</v>
      </c>
      <c r="R61" s="82">
        <f t="shared" si="24"/>
        <v>2.55</v>
      </c>
      <c r="S61" s="82">
        <f t="shared" si="24"/>
        <v>0.31</v>
      </c>
      <c r="T61" s="101">
        <f>R61+S61</f>
        <v>2.86</v>
      </c>
      <c r="U61" s="102">
        <f>Q61-W61</f>
        <v>2.7600000000000002</v>
      </c>
      <c r="V61" s="52">
        <f>N61*0.04</f>
        <v>0.1148156</v>
      </c>
      <c r="W61" s="82">
        <f>ROUNDDOWN(V61,2)</f>
        <v>0.11</v>
      </c>
      <c r="X61" s="53"/>
      <c r="Y61" s="50"/>
      <c r="Z61" s="49"/>
      <c r="AA61" s="49"/>
      <c r="AB61" s="49"/>
      <c r="AC61" s="49"/>
      <c r="AD61" s="49"/>
      <c r="AE61" s="49"/>
    </row>
    <row r="62" spans="1:31" ht="31.5">
      <c r="A62" s="54" t="s">
        <v>97</v>
      </c>
      <c r="B62" s="58">
        <v>95303</v>
      </c>
      <c r="C62" s="45" t="s">
        <v>47</v>
      </c>
      <c r="D62" s="44" t="s">
        <v>19</v>
      </c>
      <c r="E62" s="46">
        <f>E64*20.1</f>
        <v>3924.5551500000006</v>
      </c>
      <c r="F62" s="48">
        <f>R62</f>
        <v>1.62</v>
      </c>
      <c r="G62" s="11">
        <f>E62*F62</f>
        <v>6357.779343000001</v>
      </c>
      <c r="H62" s="48">
        <f>S62</f>
        <v>0.15</v>
      </c>
      <c r="I62" s="12">
        <f>E62*H62</f>
        <v>588.6832725</v>
      </c>
      <c r="J62" s="13">
        <f>G62+I62</f>
        <v>6946.462615500001</v>
      </c>
      <c r="K62" s="83">
        <f t="shared" si="22"/>
        <v>1.48</v>
      </c>
      <c r="L62" s="83">
        <f t="shared" si="22"/>
        <v>1.35</v>
      </c>
      <c r="M62" s="83">
        <f t="shared" si="22"/>
        <v>0.13</v>
      </c>
      <c r="N62" s="53">
        <f t="shared" si="23"/>
        <v>1.7774800000000002</v>
      </c>
      <c r="O62" s="53">
        <f t="shared" si="23"/>
        <v>1.6213500000000003</v>
      </c>
      <c r="P62" s="53">
        <f t="shared" si="23"/>
        <v>0.15613000000000002</v>
      </c>
      <c r="Q62" s="82">
        <f t="shared" si="24"/>
        <v>1.77</v>
      </c>
      <c r="R62" s="82">
        <f t="shared" si="24"/>
        <v>1.62</v>
      </c>
      <c r="S62" s="82">
        <f t="shared" si="24"/>
        <v>0.15</v>
      </c>
      <c r="T62" s="101">
        <f>R62+S62</f>
        <v>1.77</v>
      </c>
      <c r="U62" s="102">
        <f>Q62-W62</f>
        <v>1.7</v>
      </c>
      <c r="V62" s="52">
        <f>N62*0.04</f>
        <v>0.07109920000000002</v>
      </c>
      <c r="W62" s="82">
        <f>ROUNDDOWN(V62,2)</f>
        <v>0.07</v>
      </c>
      <c r="X62" s="53"/>
      <c r="Y62" s="50"/>
      <c r="Z62" s="49"/>
      <c r="AA62" s="49"/>
      <c r="AB62" s="49"/>
      <c r="AC62" s="49"/>
      <c r="AD62" s="49"/>
      <c r="AE62" s="49"/>
    </row>
    <row r="63" spans="1:31" ht="31.5">
      <c r="A63" s="54" t="s">
        <v>98</v>
      </c>
      <c r="B63" s="58">
        <v>72846</v>
      </c>
      <c r="C63" s="45" t="s">
        <v>1</v>
      </c>
      <c r="D63" s="44" t="s">
        <v>31</v>
      </c>
      <c r="E63" s="46">
        <f>E64*2.4</f>
        <v>468.60360000000003</v>
      </c>
      <c r="F63" s="48">
        <f>R63</f>
        <v>4.67</v>
      </c>
      <c r="G63" s="11">
        <f>E63*F63</f>
        <v>2188.378812</v>
      </c>
      <c r="H63" s="48">
        <f>S63</f>
        <v>0.64</v>
      </c>
      <c r="I63" s="12">
        <f>E63*H63</f>
        <v>299.90630400000003</v>
      </c>
      <c r="J63" s="13">
        <f>G63+I63</f>
        <v>2488.285116</v>
      </c>
      <c r="K63" s="83">
        <f t="shared" si="22"/>
        <v>4.43</v>
      </c>
      <c r="L63" s="83">
        <f t="shared" si="22"/>
        <v>3.89</v>
      </c>
      <c r="M63" s="83">
        <f t="shared" si="22"/>
        <v>0.54</v>
      </c>
      <c r="N63" s="53">
        <f t="shared" si="23"/>
        <v>5.32043</v>
      </c>
      <c r="O63" s="53">
        <f t="shared" si="23"/>
        <v>4.67189</v>
      </c>
      <c r="P63" s="53">
        <f t="shared" si="23"/>
        <v>0.6485400000000001</v>
      </c>
      <c r="Q63" s="82">
        <f t="shared" si="24"/>
        <v>5.32</v>
      </c>
      <c r="R63" s="82">
        <f t="shared" si="24"/>
        <v>4.67</v>
      </c>
      <c r="S63" s="82">
        <f t="shared" si="24"/>
        <v>0.64</v>
      </c>
      <c r="T63" s="101">
        <f>R63+S63</f>
        <v>5.31</v>
      </c>
      <c r="U63" s="102">
        <f>Q63-W63</f>
        <v>5.11</v>
      </c>
      <c r="V63" s="52">
        <f>N63*0.04</f>
        <v>0.2128172</v>
      </c>
      <c r="W63" s="82">
        <f>ROUNDDOWN(V63,2)</f>
        <v>0.21</v>
      </c>
      <c r="X63" s="53"/>
      <c r="Y63" s="50"/>
      <c r="Z63" s="49"/>
      <c r="AA63" s="49"/>
      <c r="AB63" s="49"/>
      <c r="AC63" s="49"/>
      <c r="AD63" s="49"/>
      <c r="AE63" s="49"/>
    </row>
    <row r="64" spans="1:31" ht="31.5">
      <c r="A64" s="54" t="s">
        <v>99</v>
      </c>
      <c r="B64" s="58">
        <v>95995</v>
      </c>
      <c r="C64" s="45" t="s">
        <v>70</v>
      </c>
      <c r="D64" s="44" t="s">
        <v>10</v>
      </c>
      <c r="E64" s="46">
        <f>E61*0.05</f>
        <v>195.25150000000002</v>
      </c>
      <c r="F64" s="48">
        <f>R64</f>
        <v>1052.26</v>
      </c>
      <c r="G64" s="11">
        <f>E64*F64</f>
        <v>205455.34339000002</v>
      </c>
      <c r="H64" s="48">
        <f>S64</f>
        <v>54.47</v>
      </c>
      <c r="I64" s="12">
        <f>E64*H64</f>
        <v>10635.349205</v>
      </c>
      <c r="J64" s="13">
        <f>G64+I64</f>
        <v>216090.69259500003</v>
      </c>
      <c r="K64" s="84">
        <f t="shared" si="22"/>
        <v>921.52</v>
      </c>
      <c r="L64" s="84">
        <f t="shared" si="22"/>
        <v>876.16</v>
      </c>
      <c r="M64" s="84">
        <f t="shared" si="22"/>
        <v>45.36</v>
      </c>
      <c r="N64" s="53">
        <f t="shared" si="23"/>
        <v>1106.74552</v>
      </c>
      <c r="O64" s="53">
        <f t="shared" si="23"/>
        <v>1052.26816</v>
      </c>
      <c r="P64" s="53">
        <f t="shared" si="23"/>
        <v>54.477360000000004</v>
      </c>
      <c r="Q64" s="82">
        <f t="shared" si="24"/>
        <v>1106.74</v>
      </c>
      <c r="R64" s="82">
        <f t="shared" si="24"/>
        <v>1052.26</v>
      </c>
      <c r="S64" s="82">
        <f t="shared" si="24"/>
        <v>54.47</v>
      </c>
      <c r="T64" s="101">
        <f>R64+S64</f>
        <v>1106.73</v>
      </c>
      <c r="U64" s="102">
        <f>Q64-W64</f>
        <v>1062.48</v>
      </c>
      <c r="V64" s="52">
        <f>N64*0.04</f>
        <v>44.2698208</v>
      </c>
      <c r="W64" s="82">
        <f>ROUNDDOWN(V64,2)</f>
        <v>44.26</v>
      </c>
      <c r="X64" s="53"/>
      <c r="Y64" s="50"/>
      <c r="Z64" s="49"/>
      <c r="AA64" s="49"/>
      <c r="AB64" s="49"/>
      <c r="AC64" s="49"/>
      <c r="AD64" s="49"/>
      <c r="AE64" s="49"/>
    </row>
    <row r="65" spans="1:70" s="31" customFormat="1" ht="15.75">
      <c r="A65" s="54"/>
      <c r="B65" s="14"/>
      <c r="C65" s="14" t="s">
        <v>11</v>
      </c>
      <c r="D65" s="14"/>
      <c r="E65" s="15"/>
      <c r="F65" s="16"/>
      <c r="G65" s="16">
        <f>SUM(G60:G64)</f>
        <v>226809.99994500002</v>
      </c>
      <c r="H65" s="16"/>
      <c r="I65" s="16">
        <f>SUM(I60:I64)</f>
        <v>20154.055081500002</v>
      </c>
      <c r="J65" s="16">
        <f>SUM(J60:J64)</f>
        <v>246964.05502650002</v>
      </c>
      <c r="K65" s="32"/>
      <c r="L65" s="32"/>
      <c r="M65" s="32"/>
      <c r="Q65" s="50"/>
      <c r="R65" s="50"/>
      <c r="S65" s="50"/>
      <c r="T65" s="50"/>
      <c r="U65" s="49"/>
      <c r="V65" s="1"/>
      <c r="W65" s="50"/>
      <c r="X65" s="1"/>
      <c r="Y65" s="96"/>
      <c r="Z65" s="97"/>
      <c r="AA65" s="97"/>
      <c r="AB65" s="97"/>
      <c r="AC65" s="97"/>
      <c r="AD65" s="97"/>
      <c r="AE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</row>
    <row r="66" spans="1:70" s="31" customFormat="1" ht="8.25" customHeight="1">
      <c r="A66" s="54"/>
      <c r="B66" s="14"/>
      <c r="C66" s="14"/>
      <c r="D66" s="14"/>
      <c r="E66" s="15"/>
      <c r="F66" s="16"/>
      <c r="G66" s="16"/>
      <c r="H66" s="16"/>
      <c r="I66" s="15"/>
      <c r="J66" s="17"/>
      <c r="K66" s="32"/>
      <c r="L66" s="32"/>
      <c r="M66" s="32"/>
      <c r="Q66" s="50"/>
      <c r="R66" s="50"/>
      <c r="S66" s="50"/>
      <c r="T66" s="50"/>
      <c r="U66" s="49"/>
      <c r="V66" s="1"/>
      <c r="W66" s="50"/>
      <c r="X66" s="1"/>
      <c r="Y66" s="96"/>
      <c r="Z66" s="97"/>
      <c r="AA66" s="97"/>
      <c r="AB66" s="97"/>
      <c r="AC66" s="97"/>
      <c r="AD66" s="97"/>
      <c r="AE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</row>
    <row r="67" spans="1:31" ht="18" customHeight="1">
      <c r="A67" s="6" t="s">
        <v>100</v>
      </c>
      <c r="B67" s="7"/>
      <c r="C67" s="8" t="s">
        <v>26</v>
      </c>
      <c r="D67" s="7"/>
      <c r="E67" s="19"/>
      <c r="F67" s="19"/>
      <c r="G67" s="19"/>
      <c r="H67" s="19"/>
      <c r="I67" s="19"/>
      <c r="J67" s="20"/>
      <c r="Q67" s="50"/>
      <c r="R67" s="50"/>
      <c r="S67" s="50"/>
      <c r="T67" s="50"/>
      <c r="U67" s="49"/>
      <c r="W67" s="50"/>
      <c r="Y67" s="50"/>
      <c r="Z67" s="49"/>
      <c r="AA67" s="49"/>
      <c r="AB67" s="49"/>
      <c r="AC67" s="49"/>
      <c r="AD67" s="49"/>
      <c r="AE67" s="49"/>
    </row>
    <row r="68" spans="1:31" ht="31.5">
      <c r="A68" s="54" t="s">
        <v>101</v>
      </c>
      <c r="B68" s="55">
        <v>72947</v>
      </c>
      <c r="C68" s="56" t="s">
        <v>50</v>
      </c>
      <c r="D68" s="44" t="s">
        <v>15</v>
      </c>
      <c r="E68" s="46">
        <v>80</v>
      </c>
      <c r="F68" s="48">
        <f>R68</f>
        <v>19.5</v>
      </c>
      <c r="G68" s="11">
        <f>E68*F68</f>
        <v>1560</v>
      </c>
      <c r="H68" s="48">
        <f>S68</f>
        <v>0.84</v>
      </c>
      <c r="I68" s="12">
        <f>E68*H68</f>
        <v>67.2</v>
      </c>
      <c r="J68" s="13">
        <f>G68+I68</f>
        <v>1627.2</v>
      </c>
      <c r="K68" s="83">
        <f>K22</f>
        <v>16.939999999999998</v>
      </c>
      <c r="L68" s="83">
        <f>L22</f>
        <v>16.24</v>
      </c>
      <c r="M68" s="83">
        <f>M22</f>
        <v>0.7</v>
      </c>
      <c r="N68" s="53">
        <f>K68*N$8</f>
        <v>20.344939999999998</v>
      </c>
      <c r="O68" s="53">
        <f>L68*O$8</f>
        <v>19.50424</v>
      </c>
      <c r="P68" s="53">
        <f>M68*P$8</f>
        <v>0.8407</v>
      </c>
      <c r="Q68" s="82">
        <f>ROUNDDOWN(N68,2)</f>
        <v>20.34</v>
      </c>
      <c r="R68" s="82">
        <f>ROUNDDOWN(O68,2)</f>
        <v>19.5</v>
      </c>
      <c r="S68" s="82">
        <f>ROUNDDOWN(P68,2)</f>
        <v>0.84</v>
      </c>
      <c r="T68" s="101">
        <f>R68+S68</f>
        <v>20.34</v>
      </c>
      <c r="U68" s="102">
        <f>Q68-W68</f>
        <v>19.53</v>
      </c>
      <c r="V68" s="52">
        <f>N68*0.04</f>
        <v>0.8137975999999999</v>
      </c>
      <c r="W68" s="82">
        <f>ROUNDDOWN(V68,2)</f>
        <v>0.81</v>
      </c>
      <c r="X68" s="53">
        <f>F68+H68-Q68</f>
        <v>0</v>
      </c>
      <c r="Y68" s="50"/>
      <c r="Z68" s="49"/>
      <c r="AA68" s="49"/>
      <c r="AB68" s="49"/>
      <c r="AC68" s="49"/>
      <c r="AD68" s="49"/>
      <c r="AE68" s="49"/>
    </row>
    <row r="69" spans="1:70" s="31" customFormat="1" ht="15.75">
      <c r="A69" s="54"/>
      <c r="B69" s="14"/>
      <c r="C69" s="14" t="s">
        <v>11</v>
      </c>
      <c r="D69" s="14"/>
      <c r="E69" s="15"/>
      <c r="F69" s="16"/>
      <c r="G69" s="16">
        <f>SUM(G68:G68)</f>
        <v>1560</v>
      </c>
      <c r="H69" s="16"/>
      <c r="I69" s="15">
        <f>SUM(I68:I68)</f>
        <v>67.2</v>
      </c>
      <c r="J69" s="21">
        <f>SUM(J68:J68)</f>
        <v>1627.2</v>
      </c>
      <c r="K69" s="32"/>
      <c r="L69" s="32"/>
      <c r="M69" s="32"/>
      <c r="Q69" s="50"/>
      <c r="R69" s="50"/>
      <c r="S69" s="50"/>
      <c r="T69" s="50"/>
      <c r="U69" s="49"/>
      <c r="V69" s="1"/>
      <c r="W69" s="50"/>
      <c r="X69" s="1"/>
      <c r="Y69" s="96"/>
      <c r="Z69" s="97"/>
      <c r="AA69" s="97"/>
      <c r="AB69" s="97"/>
      <c r="AC69" s="97"/>
      <c r="AD69" s="97"/>
      <c r="AE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</row>
    <row r="70" spans="1:70" s="31" customFormat="1" ht="9" customHeight="1">
      <c r="A70" s="54"/>
      <c r="B70" s="14"/>
      <c r="C70" s="14"/>
      <c r="D70" s="14"/>
      <c r="E70" s="15"/>
      <c r="F70" s="16"/>
      <c r="G70" s="16"/>
      <c r="H70" s="16"/>
      <c r="I70" s="15"/>
      <c r="J70" s="21"/>
      <c r="K70" s="32"/>
      <c r="L70" s="32"/>
      <c r="M70" s="32"/>
      <c r="Q70" s="50"/>
      <c r="R70" s="50"/>
      <c r="S70" s="50"/>
      <c r="T70" s="50"/>
      <c r="U70" s="49"/>
      <c r="V70" s="1"/>
      <c r="W70" s="50"/>
      <c r="X70" s="1"/>
      <c r="Y70" s="96"/>
      <c r="Z70" s="97"/>
      <c r="AA70" s="97"/>
      <c r="AB70" s="97"/>
      <c r="AC70" s="97"/>
      <c r="AD70" s="97"/>
      <c r="AE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</row>
    <row r="71" spans="1:10" ht="18.75" customHeight="1">
      <c r="A71" s="6" t="s">
        <v>145</v>
      </c>
      <c r="B71" s="7"/>
      <c r="C71" s="8" t="s">
        <v>102</v>
      </c>
      <c r="D71" s="7"/>
      <c r="E71" s="19"/>
      <c r="F71" s="19"/>
      <c r="G71" s="108">
        <f>G65+G69</f>
        <v>228369.99994500002</v>
      </c>
      <c r="H71" s="19"/>
      <c r="I71" s="108">
        <f>I65+I69</f>
        <v>20221.255081500003</v>
      </c>
      <c r="J71" s="108">
        <f>J65+J69</f>
        <v>248591.25502650003</v>
      </c>
    </row>
    <row r="72" spans="1:25" ht="15.75">
      <c r="A72" s="23"/>
      <c r="B72" s="22"/>
      <c r="C72" s="14"/>
      <c r="D72" s="22"/>
      <c r="E72" s="12"/>
      <c r="F72" s="48"/>
      <c r="G72" s="63"/>
      <c r="H72" s="63"/>
      <c r="I72" s="63"/>
      <c r="J72" s="64"/>
      <c r="U72" s="47">
        <f>J74</f>
        <v>0</v>
      </c>
      <c r="V72" s="85"/>
      <c r="W72" s="89">
        <v>955.34</v>
      </c>
      <c r="X72" s="85"/>
      <c r="Y72" s="50"/>
    </row>
    <row r="73" spans="1:31" ht="20.25" customHeight="1">
      <c r="A73" s="6" t="s">
        <v>103</v>
      </c>
      <c r="B73" s="7"/>
      <c r="C73" s="8" t="s">
        <v>126</v>
      </c>
      <c r="D73" s="7"/>
      <c r="E73" s="7"/>
      <c r="F73" s="7"/>
      <c r="G73" s="7"/>
      <c r="H73" s="7"/>
      <c r="I73" s="7"/>
      <c r="J73" s="9"/>
      <c r="Y73" s="50"/>
      <c r="Z73" s="49"/>
      <c r="AA73" s="49"/>
      <c r="AB73" s="49"/>
      <c r="AC73" s="49"/>
      <c r="AD73" s="49"/>
      <c r="AE73" s="49"/>
    </row>
    <row r="74" spans="1:31" ht="15.75">
      <c r="A74" s="10" t="s">
        <v>104</v>
      </c>
      <c r="B74" s="59"/>
      <c r="C74" s="60" t="s">
        <v>130</v>
      </c>
      <c r="D74" s="61"/>
      <c r="E74" s="62"/>
      <c r="F74" s="48"/>
      <c r="G74" s="11"/>
      <c r="H74" s="48"/>
      <c r="I74" s="12"/>
      <c r="J74" s="13"/>
      <c r="K74" s="83">
        <f>L74+M74</f>
        <v>321.05999999999995</v>
      </c>
      <c r="L74" s="83">
        <v>274.59</v>
      </c>
      <c r="M74" s="83">
        <v>46.47</v>
      </c>
      <c r="N74" s="53">
        <f>K74*N$8</f>
        <v>385.59306</v>
      </c>
      <c r="O74" s="53">
        <f>L74*O$8</f>
        <v>329.78258999999997</v>
      </c>
      <c r="P74" s="53">
        <f>M74*P$8</f>
        <v>55.81047</v>
      </c>
      <c r="Q74" s="82">
        <f>ROUNDDOWN(N74,2)</f>
        <v>385.59</v>
      </c>
      <c r="R74" s="82">
        <f>ROUNDDOWN(O74,2)</f>
        <v>329.78</v>
      </c>
      <c r="S74" s="82">
        <f>ROUNDDOWN(P74,2)</f>
        <v>55.81</v>
      </c>
      <c r="T74" s="101">
        <f>R74+S74</f>
        <v>385.59</v>
      </c>
      <c r="U74" s="102">
        <f>Q74-W74</f>
        <v>370.16999999999996</v>
      </c>
      <c r="V74" s="52">
        <f>N74*0.04</f>
        <v>15.423722399999999</v>
      </c>
      <c r="W74" s="82">
        <f>ROUNDDOWN(V74,2)</f>
        <v>15.42</v>
      </c>
      <c r="X74" s="53">
        <f>F74+H74-Q74</f>
        <v>-385.59</v>
      </c>
      <c r="Y74" s="50"/>
      <c r="Z74" s="49"/>
      <c r="AA74" s="49"/>
      <c r="AB74" s="49"/>
      <c r="AC74" s="49"/>
      <c r="AD74" s="49"/>
      <c r="AE74" s="49"/>
    </row>
    <row r="75" spans="1:70" s="31" customFormat="1" ht="7.5" customHeight="1">
      <c r="A75" s="10"/>
      <c r="B75" s="14"/>
      <c r="C75" s="14"/>
      <c r="D75" s="14"/>
      <c r="E75" s="15"/>
      <c r="F75" s="16"/>
      <c r="G75" s="16"/>
      <c r="H75" s="16"/>
      <c r="I75" s="15"/>
      <c r="J75" s="17"/>
      <c r="K75" s="32"/>
      <c r="L75" s="32"/>
      <c r="M75" s="32"/>
      <c r="Q75" s="50"/>
      <c r="R75" s="50"/>
      <c r="S75" s="50"/>
      <c r="T75" s="50"/>
      <c r="U75" s="49"/>
      <c r="V75" s="1"/>
      <c r="W75" s="50"/>
      <c r="X75" s="1"/>
      <c r="Y75" s="96"/>
      <c r="Z75" s="97"/>
      <c r="AA75" s="97"/>
      <c r="AB75" s="97"/>
      <c r="AC75" s="97"/>
      <c r="AD75" s="97"/>
      <c r="AE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</row>
    <row r="76" spans="1:31" ht="20.25" customHeight="1">
      <c r="A76" s="6" t="s">
        <v>105</v>
      </c>
      <c r="B76" s="7"/>
      <c r="C76" s="18" t="s">
        <v>30</v>
      </c>
      <c r="D76" s="7"/>
      <c r="E76" s="19"/>
      <c r="F76" s="19"/>
      <c r="G76" s="19"/>
      <c r="H76" s="19"/>
      <c r="I76" s="19"/>
      <c r="J76" s="20"/>
      <c r="N76" s="49"/>
      <c r="O76" s="49"/>
      <c r="P76" s="49"/>
      <c r="Q76" s="50"/>
      <c r="R76" s="50"/>
      <c r="S76" s="50"/>
      <c r="T76" s="50"/>
      <c r="U76" s="49"/>
      <c r="V76" s="49"/>
      <c r="W76" s="50"/>
      <c r="X76" s="47"/>
      <c r="Y76" s="50"/>
      <c r="Z76" s="49"/>
      <c r="AA76" s="49"/>
      <c r="AB76" s="49"/>
      <c r="AC76" s="49"/>
      <c r="AD76" s="49"/>
      <c r="AE76" s="49"/>
    </row>
    <row r="77" spans="1:31" ht="31.5">
      <c r="A77" s="54" t="s">
        <v>106</v>
      </c>
      <c r="B77" s="44" t="s">
        <v>13</v>
      </c>
      <c r="C77" s="57" t="s">
        <v>14</v>
      </c>
      <c r="D77" s="44" t="s">
        <v>15</v>
      </c>
      <c r="E77" s="46">
        <v>5341.71</v>
      </c>
      <c r="F77" s="48">
        <f>R77</f>
        <v>0.73</v>
      </c>
      <c r="G77" s="11">
        <f>E77*F77</f>
        <v>3899.4483</v>
      </c>
      <c r="H77" s="48">
        <f>S77</f>
        <v>1.9</v>
      </c>
      <c r="I77" s="12">
        <f>E77*H77</f>
        <v>10149.249</v>
      </c>
      <c r="J77" s="13">
        <f>G77+I77</f>
        <v>14048.6973</v>
      </c>
      <c r="K77" s="83">
        <f aca="true" t="shared" si="25" ref="K77:M81">K14</f>
        <v>2.2</v>
      </c>
      <c r="L77" s="83">
        <f t="shared" si="25"/>
        <v>0.61</v>
      </c>
      <c r="M77" s="83">
        <f t="shared" si="25"/>
        <v>1.59</v>
      </c>
      <c r="N77" s="53">
        <f aca="true" t="shared" si="26" ref="N77:P81">K77*N$8</f>
        <v>2.6422000000000003</v>
      </c>
      <c r="O77" s="53">
        <f t="shared" si="26"/>
        <v>0.73261</v>
      </c>
      <c r="P77" s="53">
        <f t="shared" si="26"/>
        <v>1.9095900000000001</v>
      </c>
      <c r="Q77" s="82">
        <f aca="true" t="shared" si="27" ref="Q77:S81">ROUNDDOWN(N77,2)</f>
        <v>2.64</v>
      </c>
      <c r="R77" s="82">
        <f t="shared" si="27"/>
        <v>0.73</v>
      </c>
      <c r="S77" s="82">
        <f t="shared" si="27"/>
        <v>1.9</v>
      </c>
      <c r="T77" s="101">
        <f>R77+S77</f>
        <v>2.63</v>
      </c>
      <c r="U77" s="102">
        <f>Q77-W77</f>
        <v>2.54</v>
      </c>
      <c r="V77" s="52">
        <f>N77*0.04</f>
        <v>0.10568800000000002</v>
      </c>
      <c r="W77" s="82">
        <f>ROUNDDOWN(V77,2)</f>
        <v>0.1</v>
      </c>
      <c r="X77" s="53">
        <f>F77+H77-Q77</f>
        <v>-0.010000000000000231</v>
      </c>
      <c r="Y77" s="50"/>
      <c r="Z77" s="49"/>
      <c r="AA77" s="49"/>
      <c r="AB77" s="49"/>
      <c r="AC77" s="49"/>
      <c r="AD77" s="49"/>
      <c r="AE77" s="49"/>
    </row>
    <row r="78" spans="1:31" ht="15.75">
      <c r="A78" s="54" t="s">
        <v>107</v>
      </c>
      <c r="B78" s="44">
        <v>72942</v>
      </c>
      <c r="C78" s="57" t="s">
        <v>34</v>
      </c>
      <c r="D78" s="44" t="s">
        <v>15</v>
      </c>
      <c r="E78" s="46">
        <v>5341.71</v>
      </c>
      <c r="F78" s="48">
        <f>R78</f>
        <v>2.55</v>
      </c>
      <c r="G78" s="11">
        <f>E78*F78</f>
        <v>13621.360499999999</v>
      </c>
      <c r="H78" s="48">
        <f>S78</f>
        <v>0.31</v>
      </c>
      <c r="I78" s="12">
        <f>E78*H78</f>
        <v>1655.9301</v>
      </c>
      <c r="J78" s="13">
        <f>G78+I78</f>
        <v>15277.290599999998</v>
      </c>
      <c r="K78" s="83">
        <f t="shared" si="25"/>
        <v>2.3899999999999997</v>
      </c>
      <c r="L78" s="83">
        <f t="shared" si="25"/>
        <v>2.13</v>
      </c>
      <c r="M78" s="83">
        <f t="shared" si="25"/>
        <v>0.26</v>
      </c>
      <c r="N78" s="53">
        <f t="shared" si="26"/>
        <v>2.87039</v>
      </c>
      <c r="O78" s="53">
        <f t="shared" si="26"/>
        <v>2.5581300000000002</v>
      </c>
      <c r="P78" s="53">
        <f t="shared" si="26"/>
        <v>0.31226000000000004</v>
      </c>
      <c r="Q78" s="82">
        <f t="shared" si="27"/>
        <v>2.87</v>
      </c>
      <c r="R78" s="82">
        <f t="shared" si="27"/>
        <v>2.55</v>
      </c>
      <c r="S78" s="82">
        <f t="shared" si="27"/>
        <v>0.31</v>
      </c>
      <c r="T78" s="101">
        <f>R78+S78</f>
        <v>2.86</v>
      </c>
      <c r="U78" s="102">
        <f>Q78-W78</f>
        <v>2.7600000000000002</v>
      </c>
      <c r="V78" s="52">
        <f>N78*0.04</f>
        <v>0.1148156</v>
      </c>
      <c r="W78" s="82">
        <f>ROUNDDOWN(V78,2)</f>
        <v>0.11</v>
      </c>
      <c r="X78" s="53"/>
      <c r="Y78" s="50"/>
      <c r="Z78" s="49"/>
      <c r="AA78" s="49"/>
      <c r="AB78" s="49"/>
      <c r="AC78" s="49"/>
      <c r="AD78" s="49"/>
      <c r="AE78" s="49"/>
    </row>
    <row r="79" spans="1:31" ht="31.5">
      <c r="A79" s="54" t="s">
        <v>108</v>
      </c>
      <c r="B79" s="58">
        <v>95303</v>
      </c>
      <c r="C79" s="45" t="s">
        <v>47</v>
      </c>
      <c r="D79" s="44" t="s">
        <v>19</v>
      </c>
      <c r="E79" s="46">
        <f>E81*20.1</f>
        <v>5368.418550000001</v>
      </c>
      <c r="F79" s="48">
        <f>R79</f>
        <v>1.62</v>
      </c>
      <c r="G79" s="11">
        <f>E79*F79</f>
        <v>8696.838051000002</v>
      </c>
      <c r="H79" s="48">
        <f>S79</f>
        <v>0.15</v>
      </c>
      <c r="I79" s="12">
        <f>E79*H79</f>
        <v>805.2627825000002</v>
      </c>
      <c r="J79" s="13">
        <f>G79+I79</f>
        <v>9502.100833500002</v>
      </c>
      <c r="K79" s="83">
        <f t="shared" si="25"/>
        <v>1.48</v>
      </c>
      <c r="L79" s="83">
        <f t="shared" si="25"/>
        <v>1.35</v>
      </c>
      <c r="M79" s="83">
        <f t="shared" si="25"/>
        <v>0.13</v>
      </c>
      <c r="N79" s="53">
        <f t="shared" si="26"/>
        <v>1.7774800000000002</v>
      </c>
      <c r="O79" s="53">
        <f t="shared" si="26"/>
        <v>1.6213500000000003</v>
      </c>
      <c r="P79" s="53">
        <f t="shared" si="26"/>
        <v>0.15613000000000002</v>
      </c>
      <c r="Q79" s="82">
        <f t="shared" si="27"/>
        <v>1.77</v>
      </c>
      <c r="R79" s="82">
        <f t="shared" si="27"/>
        <v>1.62</v>
      </c>
      <c r="S79" s="82">
        <f t="shared" si="27"/>
        <v>0.15</v>
      </c>
      <c r="T79" s="101">
        <f>R79+S79</f>
        <v>1.77</v>
      </c>
      <c r="U79" s="102">
        <f>Q79-W79</f>
        <v>1.7</v>
      </c>
      <c r="V79" s="52">
        <f>N79*0.04</f>
        <v>0.07109920000000002</v>
      </c>
      <c r="W79" s="82">
        <f>ROUNDDOWN(V79,2)</f>
        <v>0.07</v>
      </c>
      <c r="X79" s="53"/>
      <c r="Y79" s="50"/>
      <c r="Z79" s="49"/>
      <c r="AA79" s="49"/>
      <c r="AB79" s="49"/>
      <c r="AC79" s="49"/>
      <c r="AD79" s="49"/>
      <c r="AE79" s="49"/>
    </row>
    <row r="80" spans="1:31" ht="31.5">
      <c r="A80" s="54" t="s">
        <v>109</v>
      </c>
      <c r="B80" s="58">
        <v>72846</v>
      </c>
      <c r="C80" s="45" t="s">
        <v>1</v>
      </c>
      <c r="D80" s="44" t="s">
        <v>31</v>
      </c>
      <c r="E80" s="46">
        <f>E81*2.4</f>
        <v>641.0052000000001</v>
      </c>
      <c r="F80" s="48">
        <f>R80</f>
        <v>4.67</v>
      </c>
      <c r="G80" s="11">
        <f>E80*F80</f>
        <v>2993.4942840000003</v>
      </c>
      <c r="H80" s="48">
        <f>S80</f>
        <v>0.64</v>
      </c>
      <c r="I80" s="12">
        <f>E80*H80</f>
        <v>410.243328</v>
      </c>
      <c r="J80" s="13">
        <f>G80+I80</f>
        <v>3403.7376120000004</v>
      </c>
      <c r="K80" s="83">
        <f t="shared" si="25"/>
        <v>4.43</v>
      </c>
      <c r="L80" s="83">
        <f t="shared" si="25"/>
        <v>3.89</v>
      </c>
      <c r="M80" s="83">
        <f t="shared" si="25"/>
        <v>0.54</v>
      </c>
      <c r="N80" s="53">
        <f t="shared" si="26"/>
        <v>5.32043</v>
      </c>
      <c r="O80" s="53">
        <f t="shared" si="26"/>
        <v>4.67189</v>
      </c>
      <c r="P80" s="53">
        <f t="shared" si="26"/>
        <v>0.6485400000000001</v>
      </c>
      <c r="Q80" s="82">
        <f t="shared" si="27"/>
        <v>5.32</v>
      </c>
      <c r="R80" s="82">
        <f t="shared" si="27"/>
        <v>4.67</v>
      </c>
      <c r="S80" s="82">
        <f t="shared" si="27"/>
        <v>0.64</v>
      </c>
      <c r="T80" s="101">
        <f>R80+S80</f>
        <v>5.31</v>
      </c>
      <c r="U80" s="102">
        <f>Q80-W80</f>
        <v>5.11</v>
      </c>
      <c r="V80" s="52">
        <f>N80*0.04</f>
        <v>0.2128172</v>
      </c>
      <c r="W80" s="82">
        <f>ROUNDDOWN(V80,2)</f>
        <v>0.21</v>
      </c>
      <c r="X80" s="53"/>
      <c r="Y80" s="50"/>
      <c r="Z80" s="49"/>
      <c r="AA80" s="49"/>
      <c r="AB80" s="49"/>
      <c r="AC80" s="49"/>
      <c r="AD80" s="49"/>
      <c r="AE80" s="49"/>
    </row>
    <row r="81" spans="1:31" ht="31.5">
      <c r="A81" s="54" t="s">
        <v>110</v>
      </c>
      <c r="B81" s="58">
        <v>95995</v>
      </c>
      <c r="C81" s="45" t="s">
        <v>70</v>
      </c>
      <c r="D81" s="44" t="s">
        <v>10</v>
      </c>
      <c r="E81" s="46">
        <f>E78*0.05</f>
        <v>267.0855</v>
      </c>
      <c r="F81" s="48">
        <f>R81</f>
        <v>1052.26</v>
      </c>
      <c r="G81" s="11">
        <f>E81*F81</f>
        <v>281043.38823000004</v>
      </c>
      <c r="H81" s="48">
        <f>S81</f>
        <v>54.47</v>
      </c>
      <c r="I81" s="12">
        <f>E81*H81</f>
        <v>14548.147185000002</v>
      </c>
      <c r="J81" s="13">
        <f>G81+I81</f>
        <v>295591.53541500005</v>
      </c>
      <c r="K81" s="84">
        <f t="shared" si="25"/>
        <v>921.52</v>
      </c>
      <c r="L81" s="84">
        <f t="shared" si="25"/>
        <v>876.16</v>
      </c>
      <c r="M81" s="84">
        <f t="shared" si="25"/>
        <v>45.36</v>
      </c>
      <c r="N81" s="53">
        <f t="shared" si="26"/>
        <v>1106.74552</v>
      </c>
      <c r="O81" s="53">
        <f t="shared" si="26"/>
        <v>1052.26816</v>
      </c>
      <c r="P81" s="53">
        <f t="shared" si="26"/>
        <v>54.477360000000004</v>
      </c>
      <c r="Q81" s="82">
        <f t="shared" si="27"/>
        <v>1106.74</v>
      </c>
      <c r="R81" s="82">
        <f t="shared" si="27"/>
        <v>1052.26</v>
      </c>
      <c r="S81" s="82">
        <f t="shared" si="27"/>
        <v>54.47</v>
      </c>
      <c r="T81" s="101">
        <f>R81+S81</f>
        <v>1106.73</v>
      </c>
      <c r="U81" s="102">
        <f>Q81-W81</f>
        <v>1062.48</v>
      </c>
      <c r="V81" s="52">
        <f>N81*0.04</f>
        <v>44.2698208</v>
      </c>
      <c r="W81" s="82">
        <f>ROUNDDOWN(V81,2)</f>
        <v>44.26</v>
      </c>
      <c r="X81" s="53"/>
      <c r="Y81" s="50"/>
      <c r="Z81" s="49"/>
      <c r="AA81" s="49"/>
      <c r="AB81" s="49"/>
      <c r="AC81" s="49"/>
      <c r="AD81" s="49"/>
      <c r="AE81" s="49"/>
    </row>
    <row r="82" spans="1:70" s="31" customFormat="1" ht="15.75">
      <c r="A82" s="54"/>
      <c r="B82" s="14"/>
      <c r="C82" s="14" t="s">
        <v>11</v>
      </c>
      <c r="D82" s="14"/>
      <c r="E82" s="15"/>
      <c r="F82" s="16"/>
      <c r="G82" s="16">
        <f>SUM(G77:G81)</f>
        <v>310254.529365</v>
      </c>
      <c r="H82" s="16"/>
      <c r="I82" s="16">
        <f>SUM(I77:I81)</f>
        <v>27568.8323955</v>
      </c>
      <c r="J82" s="16">
        <f>SUM(J77:J81)</f>
        <v>337823.36176050006</v>
      </c>
      <c r="K82" s="32"/>
      <c r="L82" s="32"/>
      <c r="M82" s="32"/>
      <c r="Q82" s="50"/>
      <c r="R82" s="50"/>
      <c r="S82" s="50"/>
      <c r="T82" s="50"/>
      <c r="U82" s="49"/>
      <c r="V82" s="1"/>
      <c r="W82" s="50"/>
      <c r="X82" s="1"/>
      <c r="Y82" s="96"/>
      <c r="Z82" s="97"/>
      <c r="AA82" s="97"/>
      <c r="AB82" s="97"/>
      <c r="AC82" s="97"/>
      <c r="AD82" s="97"/>
      <c r="AE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</row>
    <row r="83" spans="1:70" s="31" customFormat="1" ht="8.25" customHeight="1">
      <c r="A83" s="54"/>
      <c r="B83" s="14"/>
      <c r="C83" s="14"/>
      <c r="D83" s="14"/>
      <c r="E83" s="15"/>
      <c r="F83" s="16"/>
      <c r="G83" s="16"/>
      <c r="H83" s="16"/>
      <c r="I83" s="15"/>
      <c r="J83" s="17"/>
      <c r="K83" s="32"/>
      <c r="L83" s="32"/>
      <c r="M83" s="32"/>
      <c r="Q83" s="50"/>
      <c r="R83" s="50"/>
      <c r="S83" s="50"/>
      <c r="T83" s="50"/>
      <c r="U83" s="49"/>
      <c r="V83" s="1"/>
      <c r="W83" s="50"/>
      <c r="X83" s="1"/>
      <c r="Y83" s="96"/>
      <c r="Z83" s="97"/>
      <c r="AA83" s="97"/>
      <c r="AB83" s="97"/>
      <c r="AC83" s="97"/>
      <c r="AD83" s="97"/>
      <c r="AE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</row>
    <row r="84" spans="1:31" ht="18" customHeight="1">
      <c r="A84" s="6" t="s">
        <v>111</v>
      </c>
      <c r="B84" s="7"/>
      <c r="C84" s="8" t="s">
        <v>26</v>
      </c>
      <c r="D84" s="7"/>
      <c r="E84" s="19"/>
      <c r="F84" s="19"/>
      <c r="G84" s="19"/>
      <c r="H84" s="19"/>
      <c r="I84" s="19"/>
      <c r="J84" s="20"/>
      <c r="Q84" s="50"/>
      <c r="R84" s="50"/>
      <c r="S84" s="50"/>
      <c r="T84" s="50"/>
      <c r="U84" s="49"/>
      <c r="W84" s="50"/>
      <c r="Y84" s="50"/>
      <c r="Z84" s="49"/>
      <c r="AA84" s="49"/>
      <c r="AB84" s="49"/>
      <c r="AC84" s="49"/>
      <c r="AD84" s="49"/>
      <c r="AE84" s="49"/>
    </row>
    <row r="85" spans="1:31" ht="31.5">
      <c r="A85" s="54" t="s">
        <v>112</v>
      </c>
      <c r="B85" s="55">
        <v>72947</v>
      </c>
      <c r="C85" s="56" t="s">
        <v>50</v>
      </c>
      <c r="D85" s="44" t="s">
        <v>15</v>
      </c>
      <c r="E85" s="46">
        <v>82.2</v>
      </c>
      <c r="F85" s="48">
        <f>R85</f>
        <v>19.5</v>
      </c>
      <c r="G85" s="11">
        <f>E85*F85</f>
        <v>1602.9</v>
      </c>
      <c r="H85" s="48">
        <f>S85</f>
        <v>0.84</v>
      </c>
      <c r="I85" s="12">
        <f>E85*H85</f>
        <v>69.048</v>
      </c>
      <c r="J85" s="13">
        <f>G85+I85</f>
        <v>1671.948</v>
      </c>
      <c r="K85" s="83">
        <f>K22</f>
        <v>16.939999999999998</v>
      </c>
      <c r="L85" s="83">
        <f>L22</f>
        <v>16.24</v>
      </c>
      <c r="M85" s="83">
        <f>M22</f>
        <v>0.7</v>
      </c>
      <c r="N85" s="53">
        <f>K85*N$8</f>
        <v>20.344939999999998</v>
      </c>
      <c r="O85" s="53">
        <f>L85*O$8</f>
        <v>19.50424</v>
      </c>
      <c r="P85" s="53">
        <f>M85*P$8</f>
        <v>0.8407</v>
      </c>
      <c r="Q85" s="82">
        <f>ROUNDDOWN(N85,2)</f>
        <v>20.34</v>
      </c>
      <c r="R85" s="82">
        <f>ROUNDDOWN(O85,2)</f>
        <v>19.5</v>
      </c>
      <c r="S85" s="82">
        <f>ROUNDDOWN(P85,2)</f>
        <v>0.84</v>
      </c>
      <c r="T85" s="101">
        <f>R85+S85</f>
        <v>20.34</v>
      </c>
      <c r="U85" s="102">
        <f>Q85-W85</f>
        <v>19.53</v>
      </c>
      <c r="V85" s="52">
        <f>N85*0.04</f>
        <v>0.8137975999999999</v>
      </c>
      <c r="W85" s="82">
        <f>ROUNDDOWN(V85,2)</f>
        <v>0.81</v>
      </c>
      <c r="X85" s="53">
        <f>F85+H85-Q85</f>
        <v>0</v>
      </c>
      <c r="Y85" s="50"/>
      <c r="Z85" s="49"/>
      <c r="AA85" s="49"/>
      <c r="AB85" s="49"/>
      <c r="AC85" s="49"/>
      <c r="AD85" s="49"/>
      <c r="AE85" s="49"/>
    </row>
    <row r="86" spans="1:70" s="31" customFormat="1" ht="15.75">
      <c r="A86" s="54"/>
      <c r="B86" s="14"/>
      <c r="C86" s="14" t="s">
        <v>11</v>
      </c>
      <c r="D86" s="14"/>
      <c r="E86" s="15"/>
      <c r="F86" s="16"/>
      <c r="G86" s="16">
        <f>SUM(G85:G85)</f>
        <v>1602.9</v>
      </c>
      <c r="H86" s="16"/>
      <c r="I86" s="15">
        <f>SUM(I85:I85)</f>
        <v>69.048</v>
      </c>
      <c r="J86" s="21">
        <f>SUM(J85:J85)</f>
        <v>1671.948</v>
      </c>
      <c r="K86" s="32"/>
      <c r="L86" s="32"/>
      <c r="M86" s="32"/>
      <c r="Q86" s="50"/>
      <c r="R86" s="50"/>
      <c r="S86" s="50"/>
      <c r="T86" s="50"/>
      <c r="U86" s="49"/>
      <c r="V86" s="1"/>
      <c r="W86" s="50"/>
      <c r="X86" s="1"/>
      <c r="Y86" s="96"/>
      <c r="Z86" s="97"/>
      <c r="AA86" s="97"/>
      <c r="AB86" s="97"/>
      <c r="AC86" s="97"/>
      <c r="AD86" s="97"/>
      <c r="AE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</row>
    <row r="87" spans="1:70" s="31" customFormat="1" ht="9" customHeight="1">
      <c r="A87" s="54"/>
      <c r="B87" s="14"/>
      <c r="C87" s="14"/>
      <c r="D87" s="14"/>
      <c r="E87" s="15"/>
      <c r="F87" s="16"/>
      <c r="G87" s="16"/>
      <c r="H87" s="16"/>
      <c r="I87" s="15"/>
      <c r="J87" s="21"/>
      <c r="K87" s="32"/>
      <c r="L87" s="32"/>
      <c r="M87" s="32"/>
      <c r="Q87" s="50"/>
      <c r="R87" s="50"/>
      <c r="S87" s="50"/>
      <c r="T87" s="50"/>
      <c r="U87" s="49"/>
      <c r="V87" s="1"/>
      <c r="W87" s="50"/>
      <c r="X87" s="1"/>
      <c r="Y87" s="96"/>
      <c r="Z87" s="97"/>
      <c r="AA87" s="97"/>
      <c r="AB87" s="97"/>
      <c r="AC87" s="97"/>
      <c r="AD87" s="97"/>
      <c r="AE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</row>
    <row r="88" spans="1:10" ht="18.75" customHeight="1">
      <c r="A88" s="6" t="s">
        <v>144</v>
      </c>
      <c r="B88" s="7"/>
      <c r="C88" s="8" t="s">
        <v>102</v>
      </c>
      <c r="D88" s="7"/>
      <c r="E88" s="19"/>
      <c r="F88" s="19"/>
      <c r="G88" s="108">
        <f>G82+G86</f>
        <v>311857.42936500005</v>
      </c>
      <c r="H88" s="19"/>
      <c r="I88" s="108">
        <f>I82+I86</f>
        <v>27637.8803955</v>
      </c>
      <c r="J88" s="108">
        <f>J82+J86</f>
        <v>339495.30976050004</v>
      </c>
    </row>
    <row r="89" spans="1:25" ht="15.75">
      <c r="A89" s="23"/>
      <c r="B89" s="22"/>
      <c r="C89" s="14"/>
      <c r="D89" s="22"/>
      <c r="E89" s="12"/>
      <c r="F89" s="48"/>
      <c r="G89" s="63"/>
      <c r="H89" s="63"/>
      <c r="I89" s="63"/>
      <c r="J89" s="64"/>
      <c r="U89" s="47">
        <f>J91</f>
        <v>0</v>
      </c>
      <c r="V89" s="85"/>
      <c r="W89" s="89">
        <v>955.34</v>
      </c>
      <c r="X89" s="85"/>
      <c r="Y89" s="50"/>
    </row>
    <row r="90" spans="1:31" ht="20.25" customHeight="1">
      <c r="A90" s="6" t="s">
        <v>113</v>
      </c>
      <c r="B90" s="7"/>
      <c r="C90" s="8" t="s">
        <v>35</v>
      </c>
      <c r="D90" s="7"/>
      <c r="E90" s="7"/>
      <c r="F90" s="7"/>
      <c r="G90" s="7"/>
      <c r="H90" s="7"/>
      <c r="I90" s="7"/>
      <c r="J90" s="9"/>
      <c r="Y90" s="50"/>
      <c r="Z90" s="49"/>
      <c r="AA90" s="49"/>
      <c r="AB90" s="49"/>
      <c r="AC90" s="49"/>
      <c r="AD90" s="49"/>
      <c r="AE90" s="49"/>
    </row>
    <row r="91" spans="1:31" ht="15.75">
      <c r="A91" s="10" t="s">
        <v>114</v>
      </c>
      <c r="B91" s="59"/>
      <c r="C91" s="60" t="s">
        <v>131</v>
      </c>
      <c r="D91" s="61"/>
      <c r="E91" s="62"/>
      <c r="F91" s="48"/>
      <c r="G91" s="11"/>
      <c r="H91" s="48"/>
      <c r="I91" s="12"/>
      <c r="J91" s="13"/>
      <c r="K91" s="83">
        <f>L91+M91</f>
        <v>321.05999999999995</v>
      </c>
      <c r="L91" s="83">
        <v>274.59</v>
      </c>
      <c r="M91" s="83">
        <v>46.47</v>
      </c>
      <c r="N91" s="53">
        <f>K91*N$8</f>
        <v>385.59306</v>
      </c>
      <c r="O91" s="53">
        <f>L91*O$8</f>
        <v>329.78258999999997</v>
      </c>
      <c r="P91" s="53">
        <f>M91*P$8</f>
        <v>55.81047</v>
      </c>
      <c r="Q91" s="82">
        <f>ROUNDDOWN(N91,2)</f>
        <v>385.59</v>
      </c>
      <c r="R91" s="82">
        <f>ROUNDDOWN(O91,2)</f>
        <v>329.78</v>
      </c>
      <c r="S91" s="82">
        <f>ROUNDDOWN(P91,2)</f>
        <v>55.81</v>
      </c>
      <c r="T91" s="101">
        <f>R91+S91</f>
        <v>385.59</v>
      </c>
      <c r="U91" s="102">
        <f>Q91-W91</f>
        <v>370.16999999999996</v>
      </c>
      <c r="V91" s="52">
        <f>N91*0.04</f>
        <v>15.423722399999999</v>
      </c>
      <c r="W91" s="82">
        <f>ROUNDDOWN(V91,2)</f>
        <v>15.42</v>
      </c>
      <c r="X91" s="53">
        <f>F91+H91-Q91</f>
        <v>-385.59</v>
      </c>
      <c r="Y91" s="50"/>
      <c r="Z91" s="49"/>
      <c r="AA91" s="49"/>
      <c r="AB91" s="49"/>
      <c r="AC91" s="49"/>
      <c r="AD91" s="49"/>
      <c r="AE91" s="49"/>
    </row>
    <row r="92" spans="1:70" s="31" customFormat="1" ht="7.5" customHeight="1">
      <c r="A92" s="10"/>
      <c r="B92" s="14"/>
      <c r="C92" s="14"/>
      <c r="D92" s="14"/>
      <c r="E92" s="15"/>
      <c r="F92" s="16"/>
      <c r="G92" s="16"/>
      <c r="H92" s="16"/>
      <c r="I92" s="15"/>
      <c r="J92" s="17"/>
      <c r="K92" s="32"/>
      <c r="L92" s="32"/>
      <c r="M92" s="32"/>
      <c r="Q92" s="50"/>
      <c r="R92" s="50"/>
      <c r="S92" s="50"/>
      <c r="T92" s="50"/>
      <c r="U92" s="49"/>
      <c r="V92" s="1"/>
      <c r="W92" s="50"/>
      <c r="X92" s="1"/>
      <c r="Y92" s="96"/>
      <c r="Z92" s="97"/>
      <c r="AA92" s="97"/>
      <c r="AB92" s="97"/>
      <c r="AC92" s="97"/>
      <c r="AD92" s="97"/>
      <c r="AE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</row>
    <row r="93" spans="1:31" ht="20.25" customHeight="1">
      <c r="A93" s="6" t="s">
        <v>115</v>
      </c>
      <c r="B93" s="7"/>
      <c r="C93" s="18" t="s">
        <v>30</v>
      </c>
      <c r="D93" s="7"/>
      <c r="E93" s="19"/>
      <c r="F93" s="19"/>
      <c r="G93" s="19"/>
      <c r="H93" s="19"/>
      <c r="I93" s="19"/>
      <c r="J93" s="20"/>
      <c r="N93" s="49"/>
      <c r="O93" s="49"/>
      <c r="P93" s="49"/>
      <c r="Q93" s="50"/>
      <c r="R93" s="50"/>
      <c r="S93" s="50"/>
      <c r="T93" s="50"/>
      <c r="U93" s="49"/>
      <c r="V93" s="49"/>
      <c r="W93" s="50"/>
      <c r="X93" s="47"/>
      <c r="Y93" s="50"/>
      <c r="Z93" s="49"/>
      <c r="AA93" s="49"/>
      <c r="AB93" s="49"/>
      <c r="AC93" s="49"/>
      <c r="AD93" s="49"/>
      <c r="AE93" s="49"/>
    </row>
    <row r="94" spans="1:31" ht="31.5">
      <c r="A94" s="54" t="s">
        <v>116</v>
      </c>
      <c r="B94" s="44" t="s">
        <v>13</v>
      </c>
      <c r="C94" s="57" t="s">
        <v>14</v>
      </c>
      <c r="D94" s="44" t="s">
        <v>15</v>
      </c>
      <c r="E94" s="46">
        <v>6282.48</v>
      </c>
      <c r="F94" s="48">
        <f>R94</f>
        <v>0.73</v>
      </c>
      <c r="G94" s="11">
        <f>E94*F94</f>
        <v>4586.2104</v>
      </c>
      <c r="H94" s="48">
        <f>S94</f>
        <v>1.9</v>
      </c>
      <c r="I94" s="12">
        <f>E94*H94</f>
        <v>11936.711999999998</v>
      </c>
      <c r="J94" s="13">
        <f>G94+I94</f>
        <v>16522.922399999996</v>
      </c>
      <c r="K94" s="83">
        <f aca="true" t="shared" si="28" ref="K94:M98">K14</f>
        <v>2.2</v>
      </c>
      <c r="L94" s="83">
        <f t="shared" si="28"/>
        <v>0.61</v>
      </c>
      <c r="M94" s="83">
        <f t="shared" si="28"/>
        <v>1.59</v>
      </c>
      <c r="N94" s="53">
        <f aca="true" t="shared" si="29" ref="N94:P98">K94*N$8</f>
        <v>2.6422000000000003</v>
      </c>
      <c r="O94" s="53">
        <f t="shared" si="29"/>
        <v>0.73261</v>
      </c>
      <c r="P94" s="53">
        <f t="shared" si="29"/>
        <v>1.9095900000000001</v>
      </c>
      <c r="Q94" s="82">
        <f aca="true" t="shared" si="30" ref="Q94:S98">ROUNDDOWN(N94,2)</f>
        <v>2.64</v>
      </c>
      <c r="R94" s="82">
        <f t="shared" si="30"/>
        <v>0.73</v>
      </c>
      <c r="S94" s="82">
        <f t="shared" si="30"/>
        <v>1.9</v>
      </c>
      <c r="T94" s="101">
        <f>R94+S94</f>
        <v>2.63</v>
      </c>
      <c r="U94" s="102">
        <f>Q94-W94</f>
        <v>2.54</v>
      </c>
      <c r="V94" s="52">
        <f>N94*0.04</f>
        <v>0.10568800000000002</v>
      </c>
      <c r="W94" s="82">
        <f>ROUNDDOWN(V94,2)</f>
        <v>0.1</v>
      </c>
      <c r="X94" s="53">
        <f>F94+H94-Q94</f>
        <v>-0.010000000000000231</v>
      </c>
      <c r="Y94" s="50"/>
      <c r="Z94" s="49"/>
      <c r="AA94" s="49"/>
      <c r="AB94" s="49"/>
      <c r="AC94" s="49"/>
      <c r="AD94" s="49"/>
      <c r="AE94" s="49"/>
    </row>
    <row r="95" spans="1:31" ht="15.75">
      <c r="A95" s="54" t="s">
        <v>117</v>
      </c>
      <c r="B95" s="44">
        <v>72942</v>
      </c>
      <c r="C95" s="57" t="s">
        <v>34</v>
      </c>
      <c r="D95" s="44" t="s">
        <v>15</v>
      </c>
      <c r="E95" s="46">
        <v>6282.48</v>
      </c>
      <c r="F95" s="48">
        <f>R95</f>
        <v>2.55</v>
      </c>
      <c r="G95" s="11">
        <f>E95*F95</f>
        <v>16020.323999999997</v>
      </c>
      <c r="H95" s="48">
        <f>S95</f>
        <v>0.31</v>
      </c>
      <c r="I95" s="12">
        <f>E95*H95</f>
        <v>1947.5687999999998</v>
      </c>
      <c r="J95" s="13">
        <f>G95+I95</f>
        <v>17967.892799999998</v>
      </c>
      <c r="K95" s="83">
        <f t="shared" si="28"/>
        <v>2.3899999999999997</v>
      </c>
      <c r="L95" s="83">
        <f t="shared" si="28"/>
        <v>2.13</v>
      </c>
      <c r="M95" s="83">
        <f t="shared" si="28"/>
        <v>0.26</v>
      </c>
      <c r="N95" s="53">
        <f t="shared" si="29"/>
        <v>2.87039</v>
      </c>
      <c r="O95" s="53">
        <f t="shared" si="29"/>
        <v>2.5581300000000002</v>
      </c>
      <c r="P95" s="53">
        <f t="shared" si="29"/>
        <v>0.31226000000000004</v>
      </c>
      <c r="Q95" s="82">
        <f t="shared" si="30"/>
        <v>2.87</v>
      </c>
      <c r="R95" s="82">
        <f t="shared" si="30"/>
        <v>2.55</v>
      </c>
      <c r="S95" s="82">
        <f t="shared" si="30"/>
        <v>0.31</v>
      </c>
      <c r="T95" s="101">
        <f>R95+S95</f>
        <v>2.86</v>
      </c>
      <c r="U95" s="102">
        <f>Q95-W95</f>
        <v>2.7600000000000002</v>
      </c>
      <c r="V95" s="52">
        <f>N95*0.04</f>
        <v>0.1148156</v>
      </c>
      <c r="W95" s="82">
        <f>ROUNDDOWN(V95,2)</f>
        <v>0.11</v>
      </c>
      <c r="X95" s="53"/>
      <c r="Y95" s="50"/>
      <c r="Z95" s="49"/>
      <c r="AA95" s="49"/>
      <c r="AB95" s="49"/>
      <c r="AC95" s="49"/>
      <c r="AD95" s="49"/>
      <c r="AE95" s="49"/>
    </row>
    <row r="96" spans="1:31" ht="31.5">
      <c r="A96" s="54" t="s">
        <v>118</v>
      </c>
      <c r="B96" s="58">
        <v>95303</v>
      </c>
      <c r="C96" s="45" t="s">
        <v>47</v>
      </c>
      <c r="D96" s="44" t="s">
        <v>19</v>
      </c>
      <c r="E96" s="46">
        <f>E98*20.1</f>
        <v>6313.892400000001</v>
      </c>
      <c r="F96" s="48">
        <f>R96</f>
        <v>1.62</v>
      </c>
      <c r="G96" s="11">
        <f>E96*F96</f>
        <v>10228.505688000001</v>
      </c>
      <c r="H96" s="48">
        <f>S96</f>
        <v>0.15</v>
      </c>
      <c r="I96" s="12">
        <f>E96*H96</f>
        <v>947.0838600000001</v>
      </c>
      <c r="J96" s="13">
        <f>G96+I96</f>
        <v>11175.589548000002</v>
      </c>
      <c r="K96" s="83">
        <f t="shared" si="28"/>
        <v>1.48</v>
      </c>
      <c r="L96" s="83">
        <f t="shared" si="28"/>
        <v>1.35</v>
      </c>
      <c r="M96" s="83">
        <f t="shared" si="28"/>
        <v>0.13</v>
      </c>
      <c r="N96" s="53">
        <f t="shared" si="29"/>
        <v>1.7774800000000002</v>
      </c>
      <c r="O96" s="53">
        <f t="shared" si="29"/>
        <v>1.6213500000000003</v>
      </c>
      <c r="P96" s="53">
        <f t="shared" si="29"/>
        <v>0.15613000000000002</v>
      </c>
      <c r="Q96" s="82">
        <f t="shared" si="30"/>
        <v>1.77</v>
      </c>
      <c r="R96" s="82">
        <f t="shared" si="30"/>
        <v>1.62</v>
      </c>
      <c r="S96" s="82">
        <f t="shared" si="30"/>
        <v>0.15</v>
      </c>
      <c r="T96" s="101">
        <f>R96+S96</f>
        <v>1.77</v>
      </c>
      <c r="U96" s="102">
        <f>Q96-W96</f>
        <v>1.7</v>
      </c>
      <c r="V96" s="52">
        <f>N96*0.04</f>
        <v>0.07109920000000002</v>
      </c>
      <c r="W96" s="82">
        <f>ROUNDDOWN(V96,2)</f>
        <v>0.07</v>
      </c>
      <c r="X96" s="53"/>
      <c r="Y96" s="50"/>
      <c r="Z96" s="49"/>
      <c r="AA96" s="49"/>
      <c r="AB96" s="49"/>
      <c r="AC96" s="49"/>
      <c r="AD96" s="49"/>
      <c r="AE96" s="49"/>
    </row>
    <row r="97" spans="1:31" ht="31.5">
      <c r="A97" s="54" t="s">
        <v>119</v>
      </c>
      <c r="B97" s="58">
        <v>72846</v>
      </c>
      <c r="C97" s="45" t="s">
        <v>1</v>
      </c>
      <c r="D97" s="44" t="s">
        <v>31</v>
      </c>
      <c r="E97" s="46">
        <f>E98*2.4</f>
        <v>753.8976</v>
      </c>
      <c r="F97" s="48">
        <f>R97</f>
        <v>4.67</v>
      </c>
      <c r="G97" s="11">
        <f>E97*F97</f>
        <v>3520.701792</v>
      </c>
      <c r="H97" s="48">
        <f>S97</f>
        <v>0.64</v>
      </c>
      <c r="I97" s="12">
        <f>E97*H97</f>
        <v>482.494464</v>
      </c>
      <c r="J97" s="13">
        <f>G97+I97</f>
        <v>4003.1962559999997</v>
      </c>
      <c r="K97" s="83">
        <f t="shared" si="28"/>
        <v>4.43</v>
      </c>
      <c r="L97" s="83">
        <f t="shared" si="28"/>
        <v>3.89</v>
      </c>
      <c r="M97" s="83">
        <f t="shared" si="28"/>
        <v>0.54</v>
      </c>
      <c r="N97" s="53">
        <f t="shared" si="29"/>
        <v>5.32043</v>
      </c>
      <c r="O97" s="53">
        <f t="shared" si="29"/>
        <v>4.67189</v>
      </c>
      <c r="P97" s="53">
        <f t="shared" si="29"/>
        <v>0.6485400000000001</v>
      </c>
      <c r="Q97" s="82">
        <f t="shared" si="30"/>
        <v>5.32</v>
      </c>
      <c r="R97" s="82">
        <f t="shared" si="30"/>
        <v>4.67</v>
      </c>
      <c r="S97" s="82">
        <f t="shared" si="30"/>
        <v>0.64</v>
      </c>
      <c r="T97" s="101">
        <f>R97+S97</f>
        <v>5.31</v>
      </c>
      <c r="U97" s="102">
        <f>Q97-W97</f>
        <v>5.11</v>
      </c>
      <c r="V97" s="52">
        <f>N97*0.04</f>
        <v>0.2128172</v>
      </c>
      <c r="W97" s="82">
        <f>ROUNDDOWN(V97,2)</f>
        <v>0.21</v>
      </c>
      <c r="X97" s="53"/>
      <c r="Y97" s="50"/>
      <c r="Z97" s="49"/>
      <c r="AA97" s="49"/>
      <c r="AB97" s="49"/>
      <c r="AC97" s="49"/>
      <c r="AD97" s="49"/>
      <c r="AE97" s="49"/>
    </row>
    <row r="98" spans="1:31" ht="31.5">
      <c r="A98" s="54" t="s">
        <v>120</v>
      </c>
      <c r="B98" s="58">
        <v>95995</v>
      </c>
      <c r="C98" s="45" t="s">
        <v>70</v>
      </c>
      <c r="D98" s="44" t="s">
        <v>10</v>
      </c>
      <c r="E98" s="46">
        <f>E95*0.05</f>
        <v>314.124</v>
      </c>
      <c r="F98" s="48">
        <f>R98</f>
        <v>1052.26</v>
      </c>
      <c r="G98" s="11">
        <f>E98*F98</f>
        <v>330540.12024</v>
      </c>
      <c r="H98" s="48">
        <f>S98</f>
        <v>54.47</v>
      </c>
      <c r="I98" s="12">
        <f>E98*H98</f>
        <v>17110.33428</v>
      </c>
      <c r="J98" s="13">
        <f>G98+I98</f>
        <v>347650.45452</v>
      </c>
      <c r="K98" s="84">
        <f t="shared" si="28"/>
        <v>921.52</v>
      </c>
      <c r="L98" s="84">
        <f t="shared" si="28"/>
        <v>876.16</v>
      </c>
      <c r="M98" s="84">
        <f t="shared" si="28"/>
        <v>45.36</v>
      </c>
      <c r="N98" s="53">
        <f t="shared" si="29"/>
        <v>1106.74552</v>
      </c>
      <c r="O98" s="53">
        <f t="shared" si="29"/>
        <v>1052.26816</v>
      </c>
      <c r="P98" s="53">
        <f t="shared" si="29"/>
        <v>54.477360000000004</v>
      </c>
      <c r="Q98" s="82">
        <f t="shared" si="30"/>
        <v>1106.74</v>
      </c>
      <c r="R98" s="82">
        <f t="shared" si="30"/>
        <v>1052.26</v>
      </c>
      <c r="S98" s="82">
        <f t="shared" si="30"/>
        <v>54.47</v>
      </c>
      <c r="T98" s="101">
        <f>R98+S98</f>
        <v>1106.73</v>
      </c>
      <c r="U98" s="102">
        <f>Q98-W98</f>
        <v>1062.48</v>
      </c>
      <c r="V98" s="52">
        <f>N98*0.04</f>
        <v>44.2698208</v>
      </c>
      <c r="W98" s="82">
        <f>ROUNDDOWN(V98,2)</f>
        <v>44.26</v>
      </c>
      <c r="X98" s="53"/>
      <c r="Y98" s="50"/>
      <c r="Z98" s="49"/>
      <c r="AA98" s="49"/>
      <c r="AB98" s="49"/>
      <c r="AC98" s="49"/>
      <c r="AD98" s="49"/>
      <c r="AE98" s="49"/>
    </row>
    <row r="99" spans="1:70" s="31" customFormat="1" ht="15.75">
      <c r="A99" s="54"/>
      <c r="B99" s="14"/>
      <c r="C99" s="14" t="s">
        <v>11</v>
      </c>
      <c r="D99" s="14"/>
      <c r="E99" s="15"/>
      <c r="F99" s="16"/>
      <c r="G99" s="16">
        <f>SUM(G94:G98)</f>
        <v>364895.86212</v>
      </c>
      <c r="H99" s="16"/>
      <c r="I99" s="16">
        <f>SUM(I94:I98)</f>
        <v>32424.193403999998</v>
      </c>
      <c r="J99" s="16">
        <f>SUM(J94:J98)</f>
        <v>397320.055524</v>
      </c>
      <c r="K99" s="32"/>
      <c r="L99" s="32"/>
      <c r="M99" s="32"/>
      <c r="Q99" s="50"/>
      <c r="R99" s="50"/>
      <c r="S99" s="50"/>
      <c r="T99" s="50"/>
      <c r="U99" s="49"/>
      <c r="V99" s="1"/>
      <c r="W99" s="50"/>
      <c r="X99" s="1"/>
      <c r="Y99" s="96"/>
      <c r="Z99" s="97"/>
      <c r="AA99" s="97"/>
      <c r="AB99" s="97"/>
      <c r="AC99" s="97"/>
      <c r="AD99" s="97"/>
      <c r="AE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</row>
    <row r="100" spans="1:70" s="31" customFormat="1" ht="8.25" customHeight="1">
      <c r="A100" s="54"/>
      <c r="B100" s="14"/>
      <c r="C100" s="14"/>
      <c r="D100" s="14"/>
      <c r="E100" s="15"/>
      <c r="F100" s="16"/>
      <c r="G100" s="16"/>
      <c r="H100" s="16"/>
      <c r="I100" s="15"/>
      <c r="J100" s="17"/>
      <c r="K100" s="32"/>
      <c r="L100" s="32"/>
      <c r="M100" s="32"/>
      <c r="Q100" s="50"/>
      <c r="R100" s="50"/>
      <c r="S100" s="50"/>
      <c r="T100" s="50"/>
      <c r="U100" s="49"/>
      <c r="V100" s="1"/>
      <c r="W100" s="50"/>
      <c r="X100" s="1"/>
      <c r="Y100" s="96"/>
      <c r="Z100" s="97"/>
      <c r="AA100" s="97"/>
      <c r="AB100" s="97"/>
      <c r="AC100" s="97"/>
      <c r="AD100" s="97"/>
      <c r="AE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</row>
    <row r="101" spans="1:31" ht="18" customHeight="1">
      <c r="A101" s="6" t="s">
        <v>121</v>
      </c>
      <c r="B101" s="7"/>
      <c r="C101" s="8" t="s">
        <v>26</v>
      </c>
      <c r="D101" s="7"/>
      <c r="E101" s="19"/>
      <c r="F101" s="19"/>
      <c r="G101" s="19"/>
      <c r="H101" s="19"/>
      <c r="I101" s="19"/>
      <c r="J101" s="20"/>
      <c r="Q101" s="50"/>
      <c r="R101" s="50"/>
      <c r="S101" s="50"/>
      <c r="T101" s="50"/>
      <c r="U101" s="49"/>
      <c r="W101" s="50"/>
      <c r="Y101" s="50"/>
      <c r="Z101" s="49"/>
      <c r="AA101" s="49"/>
      <c r="AB101" s="49"/>
      <c r="AC101" s="49"/>
      <c r="AD101" s="49"/>
      <c r="AE101" s="49"/>
    </row>
    <row r="102" spans="1:31" ht="31.5">
      <c r="A102" s="54" t="s">
        <v>122</v>
      </c>
      <c r="B102" s="55">
        <v>72947</v>
      </c>
      <c r="C102" s="56" t="s">
        <v>50</v>
      </c>
      <c r="D102" s="44" t="s">
        <v>15</v>
      </c>
      <c r="E102" s="46">
        <v>89.4</v>
      </c>
      <c r="F102" s="48">
        <f>R102</f>
        <v>19.5</v>
      </c>
      <c r="G102" s="11">
        <f>E102*F102</f>
        <v>1743.3000000000002</v>
      </c>
      <c r="H102" s="48">
        <f>S102</f>
        <v>0.84</v>
      </c>
      <c r="I102" s="12">
        <f>E102*H102</f>
        <v>75.096</v>
      </c>
      <c r="J102" s="13">
        <f>G102+I102</f>
        <v>1818.3960000000002</v>
      </c>
      <c r="K102" s="83">
        <f>K22</f>
        <v>16.939999999999998</v>
      </c>
      <c r="L102" s="83">
        <f>L22</f>
        <v>16.24</v>
      </c>
      <c r="M102" s="83">
        <f>M22</f>
        <v>0.7</v>
      </c>
      <c r="N102" s="53">
        <f>K102*N$8</f>
        <v>20.344939999999998</v>
      </c>
      <c r="O102" s="53">
        <f>L102*O$8</f>
        <v>19.50424</v>
      </c>
      <c r="P102" s="53">
        <f>M102*P$8</f>
        <v>0.8407</v>
      </c>
      <c r="Q102" s="82">
        <f>ROUNDDOWN(N102,2)</f>
        <v>20.34</v>
      </c>
      <c r="R102" s="82">
        <f>ROUNDDOWN(O102,2)</f>
        <v>19.5</v>
      </c>
      <c r="S102" s="82">
        <f>ROUNDDOWN(P102,2)</f>
        <v>0.84</v>
      </c>
      <c r="T102" s="101">
        <f>R102+S102</f>
        <v>20.34</v>
      </c>
      <c r="U102" s="102">
        <f>Q102-W102</f>
        <v>19.53</v>
      </c>
      <c r="V102" s="52">
        <f>N102*0.04</f>
        <v>0.8137975999999999</v>
      </c>
      <c r="W102" s="82">
        <f>ROUNDDOWN(V102,2)</f>
        <v>0.81</v>
      </c>
      <c r="X102" s="53">
        <f>F102+H102-Q102</f>
        <v>0</v>
      </c>
      <c r="Y102" s="50"/>
      <c r="Z102" s="49"/>
      <c r="AA102" s="49"/>
      <c r="AB102" s="49"/>
      <c r="AC102" s="49"/>
      <c r="AD102" s="49"/>
      <c r="AE102" s="49"/>
    </row>
    <row r="103" spans="1:70" s="31" customFormat="1" ht="15.75">
      <c r="A103" s="54"/>
      <c r="B103" s="14"/>
      <c r="C103" s="14" t="s">
        <v>11</v>
      </c>
      <c r="D103" s="14"/>
      <c r="E103" s="15"/>
      <c r="F103" s="16"/>
      <c r="G103" s="16">
        <f>SUM(G102:G102)</f>
        <v>1743.3000000000002</v>
      </c>
      <c r="H103" s="16"/>
      <c r="I103" s="15">
        <f>SUM(I102:I102)</f>
        <v>75.096</v>
      </c>
      <c r="J103" s="21">
        <f>SUM(J102:J102)</f>
        <v>1818.3960000000002</v>
      </c>
      <c r="K103" s="32"/>
      <c r="L103" s="32"/>
      <c r="M103" s="32"/>
      <c r="Q103" s="50"/>
      <c r="R103" s="50"/>
      <c r="S103" s="50"/>
      <c r="T103" s="50"/>
      <c r="U103" s="49"/>
      <c r="V103" s="1"/>
      <c r="W103" s="50"/>
      <c r="X103" s="1"/>
      <c r="Y103" s="96"/>
      <c r="Z103" s="97"/>
      <c r="AA103" s="97"/>
      <c r="AB103" s="97"/>
      <c r="AC103" s="97"/>
      <c r="AD103" s="97"/>
      <c r="AE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</row>
    <row r="104" spans="1:70" s="31" customFormat="1" ht="9" customHeight="1">
      <c r="A104" s="54"/>
      <c r="B104" s="14"/>
      <c r="C104" s="14"/>
      <c r="D104" s="14"/>
      <c r="E104" s="15"/>
      <c r="F104" s="16"/>
      <c r="G104" s="16"/>
      <c r="H104" s="16"/>
      <c r="I104" s="15"/>
      <c r="J104" s="21"/>
      <c r="K104" s="32"/>
      <c r="L104" s="32"/>
      <c r="M104" s="32"/>
      <c r="Q104" s="50"/>
      <c r="R104" s="50"/>
      <c r="S104" s="50"/>
      <c r="T104" s="50"/>
      <c r="U104" s="49"/>
      <c r="V104" s="1"/>
      <c r="W104" s="50"/>
      <c r="X104" s="1"/>
      <c r="Y104" s="96"/>
      <c r="Z104" s="97"/>
      <c r="AA104" s="97"/>
      <c r="AB104" s="97"/>
      <c r="AC104" s="97"/>
      <c r="AD104" s="97"/>
      <c r="AE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</row>
    <row r="105" spans="1:70" ht="15.75">
      <c r="A105" s="6" t="s">
        <v>123</v>
      </c>
      <c r="B105" s="7"/>
      <c r="C105" s="8" t="s">
        <v>54</v>
      </c>
      <c r="D105" s="7"/>
      <c r="E105" s="19"/>
      <c r="F105" s="19"/>
      <c r="G105" s="19"/>
      <c r="H105" s="19"/>
      <c r="I105" s="19"/>
      <c r="J105" s="20"/>
      <c r="L105" s="1"/>
      <c r="P105" s="35"/>
      <c r="Q105" s="1"/>
      <c r="S105" s="1"/>
      <c r="T105" s="1"/>
      <c r="W105" s="1"/>
      <c r="Y105" s="1"/>
      <c r="AK105" s="49"/>
      <c r="AL105" s="49"/>
      <c r="AM105" s="49"/>
      <c r="AN105" s="49"/>
      <c r="AO105" s="49"/>
      <c r="AP105" s="49"/>
      <c r="AQ105" s="49"/>
      <c r="BL105" s="1"/>
      <c r="BM105" s="1"/>
      <c r="BN105" s="1"/>
      <c r="BO105" s="1"/>
      <c r="BP105" s="1"/>
      <c r="BQ105" s="1"/>
      <c r="BR105" s="1"/>
    </row>
    <row r="106" spans="1:70" ht="15.75">
      <c r="A106" s="54" t="s">
        <v>124</v>
      </c>
      <c r="B106" s="22"/>
      <c r="C106" s="45" t="s">
        <v>134</v>
      </c>
      <c r="D106" s="55" t="s">
        <v>29</v>
      </c>
      <c r="E106" s="12">
        <v>6</v>
      </c>
      <c r="F106" s="109">
        <v>0</v>
      </c>
      <c r="G106" s="110">
        <f>E106*F106</f>
        <v>0</v>
      </c>
      <c r="H106" s="48">
        <v>275</v>
      </c>
      <c r="I106" s="12">
        <f>E106*H106</f>
        <v>1650</v>
      </c>
      <c r="J106" s="13">
        <f>G106+I106</f>
        <v>1650</v>
      </c>
      <c r="K106" s="83"/>
      <c r="L106" s="83"/>
      <c r="M106" s="83"/>
      <c r="N106" s="53">
        <f aca="true" t="shared" si="31" ref="N106:P107">K106*N$8</f>
        <v>0</v>
      </c>
      <c r="O106" s="53">
        <f t="shared" si="31"/>
        <v>0</v>
      </c>
      <c r="P106" s="53">
        <f t="shared" si="31"/>
        <v>0</v>
      </c>
      <c r="Q106" s="82">
        <f aca="true" t="shared" si="32" ref="Q106:S107">ROUNDDOWN(N106,2)</f>
        <v>0</v>
      </c>
      <c r="R106" s="82">
        <f t="shared" si="32"/>
        <v>0</v>
      </c>
      <c r="S106" s="82">
        <f t="shared" si="32"/>
        <v>0</v>
      </c>
      <c r="T106" s="101">
        <f>R106+S106</f>
        <v>0</v>
      </c>
      <c r="U106" s="102">
        <f>Q106-W106</f>
        <v>0</v>
      </c>
      <c r="V106" s="52">
        <f>N106*0.04</f>
        <v>0</v>
      </c>
      <c r="W106" s="82">
        <f>ROUNDDOWN(V106,2)</f>
        <v>0</v>
      </c>
      <c r="X106" s="53">
        <f>F106+H106-Q106</f>
        <v>275</v>
      </c>
      <c r="Y106" s="1"/>
      <c r="AK106" s="49"/>
      <c r="AL106" s="49"/>
      <c r="AM106" s="49"/>
      <c r="AN106" s="49"/>
      <c r="AO106" s="49"/>
      <c r="AP106" s="49"/>
      <c r="AQ106" s="49"/>
      <c r="BL106" s="1"/>
      <c r="BM106" s="1"/>
      <c r="BN106" s="1"/>
      <c r="BO106" s="1"/>
      <c r="BP106" s="1"/>
      <c r="BQ106" s="1"/>
      <c r="BR106" s="1"/>
    </row>
    <row r="107" spans="1:70" ht="31.5">
      <c r="A107" s="54" t="s">
        <v>136</v>
      </c>
      <c r="B107" s="104"/>
      <c r="C107" s="45" t="s">
        <v>135</v>
      </c>
      <c r="D107" s="105" t="s">
        <v>17</v>
      </c>
      <c r="E107" s="98">
        <v>117</v>
      </c>
      <c r="F107" s="109">
        <v>0</v>
      </c>
      <c r="G107" s="110">
        <f>E107*F107</f>
        <v>0</v>
      </c>
      <c r="H107" s="48">
        <v>5</v>
      </c>
      <c r="I107" s="12">
        <f>E107*H107</f>
        <v>585</v>
      </c>
      <c r="J107" s="13">
        <f>G107+I107</f>
        <v>585</v>
      </c>
      <c r="K107" s="83"/>
      <c r="L107" s="83"/>
      <c r="M107" s="83"/>
      <c r="N107" s="53">
        <f t="shared" si="31"/>
        <v>0</v>
      </c>
      <c r="O107" s="53">
        <f t="shared" si="31"/>
        <v>0</v>
      </c>
      <c r="P107" s="53">
        <f t="shared" si="31"/>
        <v>0</v>
      </c>
      <c r="Q107" s="82">
        <f t="shared" si="32"/>
        <v>0</v>
      </c>
      <c r="R107" s="82">
        <f t="shared" si="32"/>
        <v>0</v>
      </c>
      <c r="S107" s="82">
        <f t="shared" si="32"/>
        <v>0</v>
      </c>
      <c r="T107" s="101">
        <f>R107+S107</f>
        <v>0</v>
      </c>
      <c r="U107" s="102">
        <f>Q107-W107</f>
        <v>0</v>
      </c>
      <c r="V107" s="52">
        <f>N107*0.04</f>
        <v>0</v>
      </c>
      <c r="W107" s="82">
        <f>ROUNDDOWN(V107,2)</f>
        <v>0</v>
      </c>
      <c r="X107" s="53">
        <f>F107+H107-Q107</f>
        <v>5</v>
      </c>
      <c r="Y107" s="1"/>
      <c r="AK107" s="49"/>
      <c r="AL107" s="49"/>
      <c r="AM107" s="49"/>
      <c r="AN107" s="49"/>
      <c r="AO107" s="49"/>
      <c r="AP107" s="49"/>
      <c r="AQ107" s="49"/>
      <c r="BL107" s="1"/>
      <c r="BM107" s="1"/>
      <c r="BN107" s="1"/>
      <c r="BO107" s="1"/>
      <c r="BP107" s="1"/>
      <c r="BQ107" s="1"/>
      <c r="BR107" s="1"/>
    </row>
    <row r="108" spans="1:70" ht="15.75">
      <c r="A108" s="54" t="s">
        <v>137</v>
      </c>
      <c r="B108" s="22" t="s">
        <v>138</v>
      </c>
      <c r="C108" s="45" t="s">
        <v>139</v>
      </c>
      <c r="D108" s="55" t="s">
        <v>15</v>
      </c>
      <c r="E108" s="12">
        <v>2.88</v>
      </c>
      <c r="F108" s="48">
        <f>R108</f>
        <v>422.11</v>
      </c>
      <c r="G108" s="11">
        <f>E108*F108</f>
        <v>1215.6768</v>
      </c>
      <c r="H108" s="48">
        <f>S108</f>
        <v>63.25</v>
      </c>
      <c r="I108" s="12">
        <f>E108*H108</f>
        <v>182.16</v>
      </c>
      <c r="J108" s="13">
        <f>G108+I108</f>
        <v>1397.8368</v>
      </c>
      <c r="K108" s="83">
        <f>L108+M108</f>
        <v>404.14000000000004</v>
      </c>
      <c r="L108" s="83">
        <v>351.47</v>
      </c>
      <c r="M108" s="83">
        <v>52.67</v>
      </c>
      <c r="N108" s="53">
        <f aca="true" t="shared" si="33" ref="N108:P109">K108*N$8</f>
        <v>485.37214000000006</v>
      </c>
      <c r="O108" s="53">
        <f t="shared" si="33"/>
        <v>422.1154700000001</v>
      </c>
      <c r="P108" s="53">
        <f t="shared" si="33"/>
        <v>63.25667000000001</v>
      </c>
      <c r="Q108" s="82">
        <f aca="true" t="shared" si="34" ref="Q108:S109">ROUNDDOWN(N108,2)</f>
        <v>485.37</v>
      </c>
      <c r="R108" s="82">
        <f t="shared" si="34"/>
        <v>422.11</v>
      </c>
      <c r="S108" s="82">
        <f t="shared" si="34"/>
        <v>63.25</v>
      </c>
      <c r="T108" s="101">
        <f>R108+S108</f>
        <v>485.36</v>
      </c>
      <c r="U108" s="102">
        <f>Q108-W108</f>
        <v>465.96</v>
      </c>
      <c r="V108" s="52">
        <f>N108*0.04</f>
        <v>19.4148856</v>
      </c>
      <c r="W108" s="82">
        <f>ROUNDDOWN(V108,2)</f>
        <v>19.41</v>
      </c>
      <c r="X108" s="53">
        <f>F108+H108-Q108</f>
        <v>-0.009999999999990905</v>
      </c>
      <c r="Y108" s="1"/>
      <c r="AK108" s="49"/>
      <c r="AL108" s="49"/>
      <c r="AM108" s="49"/>
      <c r="AN108" s="49"/>
      <c r="AO108" s="49"/>
      <c r="AP108" s="49"/>
      <c r="AQ108" s="49"/>
      <c r="BL108" s="1"/>
      <c r="BM108" s="1"/>
      <c r="BN108" s="1"/>
      <c r="BO108" s="1"/>
      <c r="BP108" s="1"/>
      <c r="BQ108" s="1"/>
      <c r="BR108" s="1"/>
    </row>
    <row r="109" spans="1:70" ht="15.75">
      <c r="A109" s="54" t="s">
        <v>141</v>
      </c>
      <c r="B109" s="22" t="s">
        <v>142</v>
      </c>
      <c r="C109" s="45" t="s">
        <v>143</v>
      </c>
      <c r="D109" s="55" t="s">
        <v>10</v>
      </c>
      <c r="E109" s="12">
        <v>1</v>
      </c>
      <c r="F109" s="48">
        <f>R109</f>
        <v>204.17</v>
      </c>
      <c r="G109" s="11">
        <f>E109*F109</f>
        <v>204.17</v>
      </c>
      <c r="H109" s="48">
        <f>S109</f>
        <v>11.92</v>
      </c>
      <c r="I109" s="12">
        <f>E109*H109</f>
        <v>11.92</v>
      </c>
      <c r="J109" s="13">
        <f>G109+I109</f>
        <v>216.08999999999997</v>
      </c>
      <c r="K109" s="83">
        <f>L109+M109</f>
        <v>179.93</v>
      </c>
      <c r="L109" s="83">
        <v>170</v>
      </c>
      <c r="M109" s="83">
        <v>9.93</v>
      </c>
      <c r="N109" s="53">
        <f t="shared" si="33"/>
        <v>216.09593</v>
      </c>
      <c r="O109" s="53">
        <f t="shared" si="33"/>
        <v>204.17000000000002</v>
      </c>
      <c r="P109" s="53">
        <f t="shared" si="33"/>
        <v>11.925930000000001</v>
      </c>
      <c r="Q109" s="82">
        <f t="shared" si="34"/>
        <v>216.09</v>
      </c>
      <c r="R109" s="82">
        <f t="shared" si="34"/>
        <v>204.17</v>
      </c>
      <c r="S109" s="82">
        <f t="shared" si="34"/>
        <v>11.92</v>
      </c>
      <c r="T109" s="101">
        <f>R109+S109</f>
        <v>216.08999999999997</v>
      </c>
      <c r="U109" s="102">
        <f>Q109-W109</f>
        <v>207.45</v>
      </c>
      <c r="V109" s="52">
        <f>N109*0.04</f>
        <v>8.6438372</v>
      </c>
      <c r="W109" s="82">
        <f>ROUNDDOWN(V109,2)</f>
        <v>8.64</v>
      </c>
      <c r="X109" s="53">
        <f>F109+H109-Q109</f>
        <v>0</v>
      </c>
      <c r="Y109" s="1"/>
      <c r="AK109" s="49"/>
      <c r="AL109" s="49"/>
      <c r="AM109" s="49"/>
      <c r="AN109" s="49"/>
      <c r="AO109" s="49"/>
      <c r="AP109" s="49"/>
      <c r="AQ109" s="49"/>
      <c r="BL109" s="1"/>
      <c r="BM109" s="1"/>
      <c r="BN109" s="1"/>
      <c r="BO109" s="1"/>
      <c r="BP109" s="1"/>
      <c r="BQ109" s="1"/>
      <c r="BR109" s="1"/>
    </row>
    <row r="110" spans="1:70" ht="15.75">
      <c r="A110" s="54"/>
      <c r="B110" s="22"/>
      <c r="C110" s="14" t="s">
        <v>11</v>
      </c>
      <c r="D110" s="22"/>
      <c r="E110" s="12"/>
      <c r="F110" s="11"/>
      <c r="G110" s="16">
        <f>SUM(G106:G109)</f>
        <v>1419.8468</v>
      </c>
      <c r="H110" s="16"/>
      <c r="I110" s="16">
        <f>SUM(I106:I109)</f>
        <v>2429.08</v>
      </c>
      <c r="J110" s="16">
        <f>SUM(J106:J109)</f>
        <v>3848.9268</v>
      </c>
      <c r="L110" s="1"/>
      <c r="P110" s="35"/>
      <c r="Q110" s="1"/>
      <c r="S110" s="1"/>
      <c r="T110" s="1"/>
      <c r="W110" s="1"/>
      <c r="Y110" s="1"/>
      <c r="AK110" s="49"/>
      <c r="AL110" s="49"/>
      <c r="AM110" s="49"/>
      <c r="AN110" s="49"/>
      <c r="AO110" s="49"/>
      <c r="AP110" s="49"/>
      <c r="AQ110" s="49"/>
      <c r="BL110" s="1"/>
      <c r="BM110" s="1"/>
      <c r="BN110" s="1"/>
      <c r="BO110" s="1"/>
      <c r="BP110" s="1"/>
      <c r="BQ110" s="1"/>
      <c r="BR110" s="1"/>
    </row>
    <row r="111" spans="1:10" ht="8.25" customHeight="1">
      <c r="A111" s="54"/>
      <c r="B111" s="100"/>
      <c r="C111" s="14"/>
      <c r="D111" s="100"/>
      <c r="E111" s="12"/>
      <c r="F111" s="11"/>
      <c r="G111" s="16"/>
      <c r="H111" s="16"/>
      <c r="I111" s="15"/>
      <c r="J111" s="17"/>
    </row>
    <row r="112" spans="1:10" ht="18.75" customHeight="1">
      <c r="A112" s="6" t="s">
        <v>125</v>
      </c>
      <c r="B112" s="7"/>
      <c r="C112" s="8" t="s">
        <v>102</v>
      </c>
      <c r="D112" s="7"/>
      <c r="E112" s="19"/>
      <c r="F112" s="19"/>
      <c r="G112" s="108">
        <f>G99+G103+G110</f>
        <v>368059.00892</v>
      </c>
      <c r="H112" s="19"/>
      <c r="I112" s="108">
        <f>I99+I103+I110</f>
        <v>34928.369404</v>
      </c>
      <c r="J112" s="108">
        <f>J99+J103+J110</f>
        <v>402987.37832400005</v>
      </c>
    </row>
    <row r="113" spans="1:25" ht="15.75">
      <c r="A113" s="23"/>
      <c r="B113" s="22"/>
      <c r="C113" s="14"/>
      <c r="D113" s="22"/>
      <c r="E113" s="12"/>
      <c r="F113" s="48"/>
      <c r="G113" s="63"/>
      <c r="H113" s="63"/>
      <c r="I113" s="63"/>
      <c r="J113" s="64"/>
      <c r="U113" s="47">
        <f>J115</f>
        <v>1322678.623019</v>
      </c>
      <c r="V113" s="85"/>
      <c r="W113" s="89">
        <v>955.34</v>
      </c>
      <c r="X113" s="85"/>
      <c r="Y113" s="50"/>
    </row>
    <row r="114" spans="1:31" ht="16.5" thickBot="1">
      <c r="A114" s="24"/>
      <c r="B114" s="25"/>
      <c r="C114" s="26"/>
      <c r="D114" s="25"/>
      <c r="E114" s="27"/>
      <c r="F114" s="27"/>
      <c r="G114" s="28"/>
      <c r="H114" s="28"/>
      <c r="I114" s="28"/>
      <c r="J114" s="29"/>
      <c r="U114" s="47" t="e">
        <f>#REF!</f>
        <v>#REF!</v>
      </c>
      <c r="V114" s="85">
        <v>1</v>
      </c>
      <c r="W114" s="86">
        <f>W113*V114</f>
        <v>955.34</v>
      </c>
      <c r="X114" s="85">
        <f>W114*0.04</f>
        <v>38.2136</v>
      </c>
      <c r="Y114" s="50"/>
      <c r="Z114" s="35"/>
      <c r="AA114" s="83">
        <f>ROUNDDOWN(X114,2)</f>
        <v>38.21</v>
      </c>
      <c r="AB114" s="87">
        <f>W114-AA114</f>
        <v>917.13</v>
      </c>
      <c r="AC114" s="92">
        <f>ROUNDDOWN(AB114,2)</f>
        <v>917.13</v>
      </c>
      <c r="AD114" s="92">
        <f>AA114+AC114</f>
        <v>955.34</v>
      </c>
      <c r="AE114" s="87" t="e">
        <f>AD114-#REF!</f>
        <v>#REF!</v>
      </c>
    </row>
    <row r="115" spans="1:31" ht="20.25" customHeight="1" thickBot="1">
      <c r="A115" s="36"/>
      <c r="B115" s="37"/>
      <c r="C115" s="38" t="s">
        <v>0</v>
      </c>
      <c r="D115" s="39"/>
      <c r="E115" s="40"/>
      <c r="F115" s="40"/>
      <c r="G115" s="99">
        <f>G37+G54+G71+G88+G112</f>
        <v>1212739.7952700001</v>
      </c>
      <c r="H115" s="40"/>
      <c r="I115" s="99">
        <f>I37+I54+I71+I88+I112</f>
        <v>109938.827749</v>
      </c>
      <c r="J115" s="99">
        <f>J37+J54+J71+J88+J112</f>
        <v>1322678.623019</v>
      </c>
      <c r="K115" s="35">
        <f>J115/(E14+E43+E60+E77+E94)</f>
        <v>63.880915154370506</v>
      </c>
      <c r="U115" s="47" t="e">
        <f>#REF!</f>
        <v>#REF!</v>
      </c>
      <c r="V115" s="85">
        <v>0.4387</v>
      </c>
      <c r="W115" s="86">
        <f>V115*W113</f>
        <v>419.107658</v>
      </c>
      <c r="X115" s="85">
        <f>W115*0.04</f>
        <v>16.76430632</v>
      </c>
      <c r="Y115" s="91"/>
      <c r="Z115" s="35"/>
      <c r="AA115" s="83">
        <f>ROUNDDOWN(X115,2)</f>
        <v>16.76</v>
      </c>
      <c r="AB115" s="87">
        <f>W115-AA115</f>
        <v>402.347658</v>
      </c>
      <c r="AC115" s="92">
        <f>ROUNDDOWN(AB115,2)</f>
        <v>402.34</v>
      </c>
      <c r="AD115" s="92">
        <f>AA115+AC115</f>
        <v>419.09999999999997</v>
      </c>
      <c r="AE115" s="87" t="e">
        <f>AD115-#REF!</f>
        <v>#REF!</v>
      </c>
    </row>
    <row r="116" spans="1:31" ht="7.5" customHeight="1">
      <c r="A116" s="30"/>
      <c r="C116" s="31"/>
      <c r="D116" s="31"/>
      <c r="E116" s="32"/>
      <c r="F116" s="32"/>
      <c r="G116" s="32"/>
      <c r="H116" s="32"/>
      <c r="I116" s="32"/>
      <c r="J116" s="32"/>
      <c r="U116" s="47"/>
      <c r="V116" s="85"/>
      <c r="W116" s="86"/>
      <c r="X116" s="85"/>
      <c r="Y116" s="50"/>
      <c r="Z116" s="35"/>
      <c r="AA116" s="89"/>
      <c r="AB116" s="87"/>
      <c r="AC116" s="88"/>
      <c r="AD116" s="88"/>
      <c r="AE116" s="87"/>
    </row>
    <row r="117" spans="1:31" ht="15.75">
      <c r="A117" s="30"/>
      <c r="H117" s="49"/>
      <c r="I117" s="49"/>
      <c r="J117" s="51"/>
      <c r="U117" s="47" t="e">
        <f>U113+U114+U115</f>
        <v>#REF!</v>
      </c>
      <c r="V117" s="85">
        <v>0.2334</v>
      </c>
      <c r="W117" s="86">
        <f>W113*V117</f>
        <v>222.976356</v>
      </c>
      <c r="X117" s="85">
        <f>W117*0.04</f>
        <v>8.919054240000001</v>
      </c>
      <c r="Y117" s="50"/>
      <c r="Z117" s="35"/>
      <c r="AA117" s="83">
        <f>ROUNDDOWN(X117,2)</f>
        <v>8.91</v>
      </c>
      <c r="AB117" s="87">
        <f>W117-AA117</f>
        <v>214.066356</v>
      </c>
      <c r="AC117" s="92">
        <f>ROUNDDOWN(AB117,2)</f>
        <v>214.06</v>
      </c>
      <c r="AD117" s="92">
        <f>AA117+AC117</f>
        <v>222.97</v>
      </c>
      <c r="AE117" s="87" t="e">
        <f>AD117-#REF!</f>
        <v>#REF!</v>
      </c>
    </row>
    <row r="118" spans="1:31" ht="15.75">
      <c r="A118" s="30"/>
      <c r="H118" s="49"/>
      <c r="I118" s="49"/>
      <c r="J118" s="51" t="s">
        <v>140</v>
      </c>
      <c r="U118" s="47"/>
      <c r="V118" s="90">
        <f>SUM(V114:V117)</f>
        <v>1.6721</v>
      </c>
      <c r="W118" s="86">
        <f>W114+W115+W117</f>
        <v>1597.4240140000002</v>
      </c>
      <c r="X118" s="85"/>
      <c r="Y118" s="50"/>
      <c r="Z118" s="34"/>
      <c r="AA118" s="85">
        <f>SUM(AA114:AA117)</f>
        <v>63.879999999999995</v>
      </c>
      <c r="AB118" s="87"/>
      <c r="AC118" s="87">
        <f>SUM(AC114:AC117)</f>
        <v>1533.53</v>
      </c>
      <c r="AD118" s="87">
        <f>SUM(AD114:AD117)</f>
        <v>1597.41</v>
      </c>
      <c r="AE118" s="87">
        <f>AD118-W118</f>
        <v>-0.014014000000088345</v>
      </c>
    </row>
    <row r="119" spans="1:30" ht="15.75">
      <c r="A119" s="30"/>
      <c r="H119" s="49"/>
      <c r="I119" s="49"/>
      <c r="J119" s="51"/>
      <c r="AD119" s="34">
        <f>AC118+AA118-AD118</f>
        <v>0</v>
      </c>
    </row>
    <row r="120" spans="1:9" ht="75.75" customHeight="1">
      <c r="A120" s="30"/>
      <c r="B120" s="131" t="s">
        <v>36</v>
      </c>
      <c r="C120" s="131"/>
      <c r="D120" s="2"/>
      <c r="E120" s="2"/>
      <c r="F120" s="2" t="s">
        <v>38</v>
      </c>
      <c r="G120" s="2"/>
      <c r="I120" s="2"/>
    </row>
    <row r="121" spans="1:8" ht="15.75">
      <c r="A121" s="30"/>
      <c r="B121" s="137" t="s">
        <v>37</v>
      </c>
      <c r="C121" s="137"/>
      <c r="F121" s="137" t="s">
        <v>41</v>
      </c>
      <c r="G121" s="137"/>
      <c r="H121" s="137"/>
    </row>
    <row r="122" spans="1:8" ht="15.75">
      <c r="A122" s="30"/>
      <c r="B122" s="137" t="s">
        <v>39</v>
      </c>
      <c r="C122" s="137"/>
      <c r="F122" s="137" t="s">
        <v>40</v>
      </c>
      <c r="G122" s="137"/>
      <c r="H122" s="137"/>
    </row>
    <row r="123" ht="15.75">
      <c r="A123" s="30"/>
    </row>
    <row r="124" ht="15.75">
      <c r="A124" s="30"/>
    </row>
    <row r="125" ht="15.75">
      <c r="A125" s="30"/>
    </row>
    <row r="126" ht="15.75">
      <c r="A126" s="30"/>
    </row>
    <row r="127" spans="1:16" ht="15.75">
      <c r="A127" s="30"/>
      <c r="N127" s="34"/>
      <c r="O127" s="34"/>
      <c r="P127" s="34"/>
    </row>
    <row r="128" ht="15.75">
      <c r="A128" s="30"/>
    </row>
    <row r="129" ht="15.75">
      <c r="A129" s="30"/>
    </row>
    <row r="130" ht="15.75">
      <c r="A130" s="30"/>
    </row>
    <row r="131" ht="15.75">
      <c r="A131" s="30"/>
    </row>
    <row r="132" ht="15.75">
      <c r="A132" s="30"/>
    </row>
    <row r="133" ht="15.75">
      <c r="A133" s="30"/>
    </row>
    <row r="134" ht="15.75">
      <c r="A134" s="30"/>
    </row>
    <row r="135" ht="15.75">
      <c r="A135" s="30"/>
    </row>
    <row r="136" ht="15.75">
      <c r="A136" s="30"/>
    </row>
    <row r="137" ht="15.75">
      <c r="A137" s="30"/>
    </row>
    <row r="138" ht="15.75">
      <c r="A138" s="30"/>
    </row>
    <row r="139" ht="15.75">
      <c r="A139" s="30"/>
    </row>
    <row r="140" ht="15.75">
      <c r="A140" s="30"/>
    </row>
    <row r="141" ht="15.75">
      <c r="A141" s="30"/>
    </row>
    <row r="142" ht="15.75">
      <c r="A142" s="30"/>
    </row>
    <row r="143" ht="15.75">
      <c r="A143" s="30"/>
    </row>
    <row r="144" ht="15.75">
      <c r="A144" s="30"/>
    </row>
    <row r="145" ht="15.75">
      <c r="A145" s="30"/>
    </row>
    <row r="146" ht="15.75">
      <c r="A146" s="30"/>
    </row>
    <row r="147" ht="15.75">
      <c r="A147" s="30"/>
    </row>
    <row r="148" ht="15.75">
      <c r="A148" s="30"/>
    </row>
    <row r="149" ht="15.75">
      <c r="A149" s="30"/>
    </row>
    <row r="150" ht="15.75">
      <c r="A150" s="30"/>
    </row>
    <row r="151" ht="15.75">
      <c r="A151" s="30"/>
    </row>
    <row r="152" ht="15.75">
      <c r="A152" s="30"/>
    </row>
  </sheetData>
  <sheetProtection/>
  <mergeCells count="20">
    <mergeCell ref="B120:C120"/>
    <mergeCell ref="I5:J5"/>
    <mergeCell ref="J7:J8"/>
    <mergeCell ref="F7:G7"/>
    <mergeCell ref="B122:C122"/>
    <mergeCell ref="F121:H121"/>
    <mergeCell ref="F122:H122"/>
    <mergeCell ref="H7:I7"/>
    <mergeCell ref="E7:E8"/>
    <mergeCell ref="B121:C121"/>
    <mergeCell ref="A1:J1"/>
    <mergeCell ref="A7:A8"/>
    <mergeCell ref="B7:B8"/>
    <mergeCell ref="C7:C8"/>
    <mergeCell ref="D7:D8"/>
    <mergeCell ref="A5:H5"/>
    <mergeCell ref="A3:H3"/>
    <mergeCell ref="I3:J3"/>
    <mergeCell ref="A4:H4"/>
    <mergeCell ref="I4:J4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A1" sqref="A1:G27"/>
    </sheetView>
  </sheetViews>
  <sheetFormatPr defaultColWidth="9.140625" defaultRowHeight="15"/>
  <cols>
    <col min="1" max="1" width="9.140625" style="65" customWidth="1"/>
    <col min="2" max="2" width="29.00390625" style="65" bestFit="1" customWidth="1"/>
    <col min="3" max="7" width="14.421875" style="65" customWidth="1"/>
    <col min="8" max="16384" width="9.140625" style="65" customWidth="1"/>
  </cols>
  <sheetData>
    <row r="1" spans="1:7" ht="16.5" thickBot="1">
      <c r="A1" s="111" t="s">
        <v>42</v>
      </c>
      <c r="B1" s="112"/>
      <c r="C1" s="112"/>
      <c r="D1" s="112"/>
      <c r="E1" s="112"/>
      <c r="F1" s="112"/>
      <c r="G1" s="113"/>
    </row>
    <row r="2" ht="16.5" thickBot="1"/>
    <row r="3" spans="1:7" ht="15.75">
      <c r="A3" s="121" t="s">
        <v>32</v>
      </c>
      <c r="B3" s="122"/>
      <c r="C3" s="122"/>
      <c r="D3" s="122"/>
      <c r="E3" s="122"/>
      <c r="F3" s="122"/>
      <c r="G3" s="122"/>
    </row>
    <row r="4" spans="1:7" ht="15.75">
      <c r="A4" s="126" t="s">
        <v>33</v>
      </c>
      <c r="B4" s="127"/>
      <c r="C4" s="127"/>
      <c r="D4" s="127"/>
      <c r="E4" s="127"/>
      <c r="F4" s="127"/>
      <c r="G4" s="127"/>
    </row>
    <row r="5" spans="1:7" ht="16.5" thickBot="1">
      <c r="A5" s="118" t="s">
        <v>49</v>
      </c>
      <c r="B5" s="119"/>
      <c r="C5" s="119"/>
      <c r="D5" s="119"/>
      <c r="E5" s="119"/>
      <c r="F5" s="119"/>
      <c r="G5" s="119"/>
    </row>
    <row r="6" ht="16.5" thickBot="1"/>
    <row r="7" spans="1:7" ht="16.5" thickBot="1">
      <c r="A7" s="70" t="s">
        <v>43</v>
      </c>
      <c r="B7" s="71" t="s">
        <v>27</v>
      </c>
      <c r="C7" s="71" t="s">
        <v>44</v>
      </c>
      <c r="D7" s="71"/>
      <c r="E7" s="71"/>
      <c r="F7" s="71"/>
      <c r="G7" s="72" t="s">
        <v>9</v>
      </c>
    </row>
    <row r="8" spans="1:7" ht="7.5" customHeight="1" thickBot="1">
      <c r="A8" s="73"/>
      <c r="B8" s="74"/>
      <c r="C8" s="74"/>
      <c r="D8" s="74"/>
      <c r="E8" s="74"/>
      <c r="F8" s="74"/>
      <c r="G8" s="75"/>
    </row>
    <row r="9" spans="1:7" ht="15.75">
      <c r="A9" s="76" t="s">
        <v>21</v>
      </c>
      <c r="B9" s="77" t="s">
        <v>52</v>
      </c>
      <c r="C9" s="78" t="e">
        <f>DIVERSAS!#REF!</f>
        <v>#REF!</v>
      </c>
      <c r="D9" s="79"/>
      <c r="E9" s="79"/>
      <c r="F9" s="79"/>
      <c r="G9" s="80" t="e">
        <f>C9+D9+E9+F9</f>
        <v>#REF!</v>
      </c>
    </row>
    <row r="10" spans="1:7" ht="8.25" customHeight="1">
      <c r="A10" s="23"/>
      <c r="B10" s="22"/>
      <c r="C10" s="22"/>
      <c r="D10" s="22"/>
      <c r="E10" s="22"/>
      <c r="F10" s="22"/>
      <c r="G10" s="13"/>
    </row>
    <row r="11" spans="1:7" ht="15.75">
      <c r="A11" s="66" t="s">
        <v>12</v>
      </c>
      <c r="B11" s="7" t="s">
        <v>53</v>
      </c>
      <c r="C11" s="67">
        <f>G11</f>
        <v>255239.9751195</v>
      </c>
      <c r="D11" s="22"/>
      <c r="E11" s="22"/>
      <c r="F11" s="22"/>
      <c r="G11" s="20">
        <f>DIVERSAS!J19</f>
        <v>255239.9751195</v>
      </c>
    </row>
    <row r="12" spans="1:7" ht="9" customHeight="1">
      <c r="A12" s="23"/>
      <c r="B12" s="22"/>
      <c r="C12" s="22"/>
      <c r="D12" s="22"/>
      <c r="E12" s="22"/>
      <c r="F12" s="22"/>
      <c r="G12" s="13"/>
    </row>
    <row r="13" spans="1:7" ht="15.75">
      <c r="A13" s="66" t="s">
        <v>20</v>
      </c>
      <c r="B13" s="7" t="s">
        <v>26</v>
      </c>
      <c r="C13" s="67">
        <f>G13</f>
        <v>1403.46</v>
      </c>
      <c r="D13" s="22"/>
      <c r="E13" s="22"/>
      <c r="F13" s="22"/>
      <c r="G13" s="20">
        <f>DIVERSAS!J23</f>
        <v>1403.46</v>
      </c>
    </row>
    <row r="14" spans="1:7" ht="7.5" customHeight="1">
      <c r="A14" s="23"/>
      <c r="B14" s="22"/>
      <c r="C14" s="22"/>
      <c r="D14" s="22"/>
      <c r="E14" s="22"/>
      <c r="F14" s="22"/>
      <c r="G14" s="13">
        <f>C14+D14+E14+F14</f>
        <v>0</v>
      </c>
    </row>
    <row r="15" spans="1:7" ht="15.75">
      <c r="A15" s="66" t="s">
        <v>22</v>
      </c>
      <c r="B15" s="7" t="s">
        <v>24</v>
      </c>
      <c r="C15" s="67" t="e">
        <f>G15</f>
        <v>#REF!</v>
      </c>
      <c r="D15" s="22"/>
      <c r="E15" s="22"/>
      <c r="F15" s="22"/>
      <c r="G15" s="20" t="e">
        <f>DIVERSAS!#REF!</f>
        <v>#REF!</v>
      </c>
    </row>
    <row r="16" spans="1:7" ht="8.25" customHeight="1">
      <c r="A16" s="23"/>
      <c r="B16" s="22"/>
      <c r="C16" s="22"/>
      <c r="D16" s="22"/>
      <c r="E16" s="22"/>
      <c r="F16" s="22"/>
      <c r="G16" s="13"/>
    </row>
    <row r="17" spans="1:7" ht="15.75">
      <c r="A17" s="66" t="s">
        <v>16</v>
      </c>
      <c r="B17" s="7" t="s">
        <v>54</v>
      </c>
      <c r="C17" s="67">
        <f>G17</f>
        <v>2466.8975</v>
      </c>
      <c r="D17" s="22"/>
      <c r="E17" s="22"/>
      <c r="F17" s="22"/>
      <c r="G17" s="20">
        <f>DIVERSAS!J35</f>
        <v>2466.8975</v>
      </c>
    </row>
    <row r="18" spans="1:7" ht="6.75" customHeight="1">
      <c r="A18" s="23"/>
      <c r="B18" s="22"/>
      <c r="C18" s="22"/>
      <c r="D18" s="22"/>
      <c r="E18" s="22"/>
      <c r="F18" s="22"/>
      <c r="G18" s="13"/>
    </row>
    <row r="19" spans="1:7" ht="15.75">
      <c r="A19" s="66" t="s">
        <v>23</v>
      </c>
      <c r="B19" s="7" t="s">
        <v>18</v>
      </c>
      <c r="C19" s="67">
        <f>G19</f>
        <v>0</v>
      </c>
      <c r="D19" s="22"/>
      <c r="E19" s="22"/>
      <c r="F19" s="22"/>
      <c r="G19" s="20">
        <f>DIVERSAS!J113</f>
        <v>0</v>
      </c>
    </row>
    <row r="20" spans="1:7" ht="8.25" customHeight="1" thickBot="1">
      <c r="A20" s="23"/>
      <c r="B20" s="22"/>
      <c r="C20" s="22"/>
      <c r="D20" s="22"/>
      <c r="E20" s="22"/>
      <c r="F20" s="22"/>
      <c r="G20" s="13"/>
    </row>
    <row r="21" spans="1:7" ht="16.5" thickBot="1">
      <c r="A21" s="36"/>
      <c r="B21" s="37" t="s">
        <v>0</v>
      </c>
      <c r="C21" s="67" t="e">
        <f>G21</f>
        <v>#REF!</v>
      </c>
      <c r="D21" s="68"/>
      <c r="E21" s="68"/>
      <c r="F21" s="68"/>
      <c r="G21" s="69" t="e">
        <f>G9+G11+G13+G15+G17+G19</f>
        <v>#REF!</v>
      </c>
    </row>
    <row r="22" spans="3:6" ht="15.75">
      <c r="C22" s="81"/>
      <c r="D22" s="81"/>
      <c r="E22" s="81"/>
      <c r="F22" s="81"/>
    </row>
    <row r="23" spans="1:7" ht="15.75">
      <c r="A23" s="1"/>
      <c r="B23" s="1"/>
      <c r="C23" s="35"/>
      <c r="D23" s="1"/>
      <c r="E23" s="1"/>
      <c r="F23" s="1"/>
      <c r="G23" s="51" t="str">
        <f>DIVERSAS!J118</f>
        <v>Gaurama - RS, 30 de março de 2023.</v>
      </c>
    </row>
    <row r="24" spans="1:8" ht="52.5" customHeight="1">
      <c r="A24" s="1"/>
      <c r="B24" s="1"/>
      <c r="C24" s="1"/>
      <c r="D24" s="1"/>
      <c r="E24" s="1"/>
      <c r="F24" s="1"/>
      <c r="G24" s="49"/>
      <c r="H24" s="51"/>
    </row>
    <row r="25" spans="1:8" ht="15.75">
      <c r="A25" s="131" t="s">
        <v>36</v>
      </c>
      <c r="B25" s="131"/>
      <c r="C25" s="2"/>
      <c r="D25" s="2"/>
      <c r="E25" s="2" t="s">
        <v>38</v>
      </c>
      <c r="F25" s="2"/>
      <c r="G25" s="1"/>
      <c r="H25" s="1"/>
    </row>
    <row r="26" spans="1:8" ht="15.75">
      <c r="A26" s="137" t="s">
        <v>37</v>
      </c>
      <c r="B26" s="137"/>
      <c r="C26" s="1"/>
      <c r="D26" s="1"/>
      <c r="E26" s="137" t="s">
        <v>41</v>
      </c>
      <c r="F26" s="137"/>
      <c r="G26" s="137"/>
      <c r="H26" s="1"/>
    </row>
    <row r="27" spans="1:8" ht="15.75">
      <c r="A27" s="137" t="s">
        <v>39</v>
      </c>
      <c r="B27" s="137"/>
      <c r="C27" s="1"/>
      <c r="D27" s="1"/>
      <c r="E27" s="137" t="s">
        <v>40</v>
      </c>
      <c r="F27" s="137"/>
      <c r="G27" s="137"/>
      <c r="H27" s="1"/>
    </row>
  </sheetData>
  <sheetProtection/>
  <mergeCells count="9">
    <mergeCell ref="A1:G1"/>
    <mergeCell ref="A3:G3"/>
    <mergeCell ref="A26:B26"/>
    <mergeCell ref="E26:G26"/>
    <mergeCell ref="A27:B27"/>
    <mergeCell ref="E27:G27"/>
    <mergeCell ref="A4:G4"/>
    <mergeCell ref="A5:G5"/>
    <mergeCell ref="A25:B25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Alisson</dc:creator>
  <cp:keywords/>
  <dc:description/>
  <cp:lastModifiedBy>Admin</cp:lastModifiedBy>
  <cp:lastPrinted>2023-03-22T17:54:37Z</cp:lastPrinted>
  <dcterms:created xsi:type="dcterms:W3CDTF">2013-09-27T16:59:11Z</dcterms:created>
  <dcterms:modified xsi:type="dcterms:W3CDTF">2023-03-31T17:57:23Z</dcterms:modified>
  <cp:category/>
  <cp:version/>
  <cp:contentType/>
  <cp:contentStatus/>
</cp:coreProperties>
</file>